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G:\Proposals &amp; Blogs (EJ authored)\Disney\"/>
    </mc:Choice>
  </mc:AlternateContent>
  <xr:revisionPtr revIDLastSave="0" documentId="8_{FE362108-4F6E-456C-91A2-A9D2A2D4ADD4}" xr6:coauthVersionLast="32" xr6:coauthVersionMax="32" xr10:uidLastSave="{00000000-0000-0000-0000-000000000000}"/>
  <bookViews>
    <workbookView xWindow="0" yWindow="0" windowWidth="23055" windowHeight="9345" xr2:uid="{00000000-000D-0000-FFFF-FFFF00000000}"/>
  </bookViews>
  <sheets>
    <sheet name="Disney Event " sheetId="1" r:id="rId1"/>
  </sheets>
  <externalReferences>
    <externalReference r:id="rId2"/>
    <externalReference r:id="rId3"/>
    <externalReference r:id="rId4"/>
  </externalReferences>
  <definedNames>
    <definedName name="Audience" localSheetId="0">#REF!</definedName>
    <definedName name="Audience">#REF!</definedName>
    <definedName name="Category">'[1]Change Triggers'!$Q$7:$Q$14</definedName>
    <definedName name="Change_Category">'[2]Change Triggers'!$A$178:$A$187</definedName>
    <definedName name="Dates">'[3]Drop Downs'!$C$1:$C$5</definedName>
    <definedName name="Frequency" localSheetId="0">#REF!</definedName>
    <definedName name="Frequency">#REF!</definedName>
    <definedName name="Results">'[3]Drop Downs'!$A$1:$A$3</definedName>
    <definedName name="Win___Loss">'[2]Change Triggers'!$C$178:$C$181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2" i="1" l="1"/>
  <c r="N81" i="1" l="1"/>
  <c r="M81" i="1"/>
  <c r="L81" i="1"/>
  <c r="K81" i="1"/>
  <c r="J81" i="1"/>
  <c r="I81" i="1"/>
  <c r="H81" i="1"/>
  <c r="G81" i="1"/>
  <c r="F81" i="1"/>
  <c r="E81" i="1"/>
  <c r="D81" i="1"/>
  <c r="C81" i="1"/>
  <c r="C86" i="1" s="1"/>
  <c r="O80" i="1"/>
  <c r="O79" i="1"/>
  <c r="O78" i="1"/>
  <c r="O77" i="1"/>
  <c r="O76" i="1"/>
  <c r="O75" i="1"/>
  <c r="O74" i="1"/>
  <c r="O73" i="1"/>
  <c r="N68" i="1"/>
  <c r="M68" i="1"/>
  <c r="L68" i="1"/>
  <c r="K68" i="1"/>
  <c r="J68" i="1"/>
  <c r="I68" i="1"/>
  <c r="H68" i="1"/>
  <c r="G68" i="1"/>
  <c r="F68" i="1"/>
  <c r="E68" i="1"/>
  <c r="D68" i="1"/>
  <c r="C68" i="1"/>
  <c r="C87" i="1" s="1"/>
  <c r="O65" i="1"/>
  <c r="O64" i="1"/>
  <c r="O63" i="1"/>
  <c r="O62" i="1"/>
  <c r="O61" i="1"/>
  <c r="O60" i="1"/>
  <c r="O59" i="1"/>
  <c r="O58" i="1"/>
  <c r="N39" i="1"/>
  <c r="M39" i="1"/>
  <c r="L39" i="1"/>
  <c r="K39" i="1"/>
  <c r="J39" i="1"/>
  <c r="I39" i="1"/>
  <c r="H39" i="1"/>
  <c r="G39" i="1"/>
  <c r="F39" i="1"/>
  <c r="E39" i="1"/>
  <c r="D39" i="1"/>
  <c r="C39" i="1"/>
  <c r="C44" i="1" s="1"/>
  <c r="O38" i="1"/>
  <c r="O37" i="1"/>
  <c r="O36" i="1"/>
  <c r="O35" i="1"/>
  <c r="O39" i="1" s="1"/>
  <c r="O34" i="1"/>
  <c r="O33" i="1"/>
  <c r="M29" i="1"/>
  <c r="L29" i="1"/>
  <c r="K29" i="1"/>
  <c r="J29" i="1"/>
  <c r="I29" i="1"/>
  <c r="H29" i="1"/>
  <c r="G29" i="1"/>
  <c r="F29" i="1"/>
  <c r="E29" i="1"/>
  <c r="D29" i="1"/>
  <c r="C29" i="1"/>
  <c r="C45" i="1" s="1"/>
  <c r="O81" i="1" l="1"/>
  <c r="C46" i="1"/>
  <c r="C8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Esther Jackson</author>
  </authors>
  <commentList>
    <comment ref="G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Esther Jackson:</t>
        </r>
        <r>
          <rPr>
            <sz val="9"/>
            <color indexed="81"/>
            <rFont val="Tahoma"/>
            <family val="2"/>
          </rPr>
          <t xml:space="preserve">
Food for 40 (pastries, coffee, tea, water, pop, sandwiches, chips, cookies, Member gift bag, </t>
        </r>
      </text>
    </comment>
  </commentList>
</comments>
</file>

<file path=xl/sharedStrings.xml><?xml version="1.0" encoding="utf-8"?>
<sst xmlns="http://schemas.openxmlformats.org/spreadsheetml/2006/main" count="144" uniqueCount="85">
  <si>
    <t xml:space="preserve"> </t>
  </si>
  <si>
    <t xml:space="preserve">ATD Detroit </t>
  </si>
  <si>
    <t>Estimated Expenses</t>
  </si>
  <si>
    <t>Proposed Pricing</t>
  </si>
  <si>
    <t>Deadline Date</t>
  </si>
  <si>
    <t>Registration Fee</t>
  </si>
  <si>
    <t>Column1</t>
  </si>
  <si>
    <t>Column2</t>
  </si>
  <si>
    <t>Column3</t>
  </si>
  <si>
    <t>Column4</t>
  </si>
  <si>
    <t>July</t>
  </si>
  <si>
    <t>August</t>
  </si>
  <si>
    <t>September</t>
  </si>
  <si>
    <t>October</t>
  </si>
  <si>
    <t>November</t>
  </si>
  <si>
    <t>December</t>
  </si>
  <si>
    <t>January</t>
  </si>
  <si>
    <t>Early Bird -- Members</t>
  </si>
  <si>
    <t>Early Bird -- Non-Members</t>
  </si>
  <si>
    <t>Early Bird -- Group (5) Members</t>
  </si>
  <si>
    <t>Early Bird -- Group (5) Non-Members</t>
  </si>
  <si>
    <t>After 6/30/17 -- Members</t>
  </si>
  <si>
    <t>Until Full?</t>
  </si>
  <si>
    <t>After 6/30/17 -- Non-Members</t>
  </si>
  <si>
    <t>After 6/30/17 -- Group (5) Members</t>
  </si>
  <si>
    <t>After 6/30/17 -- Group (5) Non-Members</t>
  </si>
  <si>
    <t>*These are just hypothetical amounts that can be changed to whatever the board decides.</t>
  </si>
  <si>
    <t>Planned Expenses</t>
  </si>
  <si>
    <t>Estimations for Maximum of 150 Attendees</t>
  </si>
  <si>
    <t>Disney Signature Event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</si>
  <si>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</si>
  <si>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</si>
  <si>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</si>
  <si>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</si>
  <si>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</si>
  <si>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</si>
  <si>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</si>
  <si>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</si>
  <si>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</si>
  <si>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</si>
  <si>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</si>
  <si>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</si>
  <si>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</si>
  <si>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Disney Fee</t>
  </si>
  <si>
    <t>Program Venue (Free)</t>
  </si>
  <si>
    <t>Equipment/Supplies (???)</t>
  </si>
  <si>
    <t>Continental Breakfast</t>
  </si>
  <si>
    <t>Lunch (150 persons @ $20/ea)</t>
  </si>
  <si>
    <t>Trainer #1 Airfare &amp; Hotel (One room for 2 nights)</t>
  </si>
  <si>
    <t>Trainer #2 Airfare &amp; Hotel (One room for 2 nights)</t>
  </si>
  <si>
    <t>Ground Transp for Trainers</t>
  </si>
  <si>
    <t>Other??</t>
  </si>
  <si>
    <t>Subtotal</t>
  </si>
  <si>
    <t>Estimated Registration</t>
  </si>
  <si>
    <t>30 - Early Bird Members @ $400</t>
  </si>
  <si>
    <t>35 - Early Bird Non-Members @ $450</t>
  </si>
  <si>
    <t>30 - Members (after Early Bird)</t>
  </si>
  <si>
    <t>40 - Non-Members (after Early Bird)</t>
  </si>
  <si>
    <t>2 - Early Bird Member Groups</t>
  </si>
  <si>
    <t>1 - After Early Bird Non-Member Group</t>
  </si>
  <si>
    <t>TOTALS</t>
  </si>
  <si>
    <t>Event Registrations</t>
  </si>
  <si>
    <t>(Less) Event Planned Expenses</t>
  </si>
  <si>
    <t>Balance</t>
  </si>
  <si>
    <t>Tuesday</t>
  </si>
  <si>
    <t>Oct. 17, 2017</t>
  </si>
  <si>
    <t>Continental Breakfast (200 persons)</t>
  </si>
  <si>
    <t>ATD Detroit Potential LOSS</t>
  </si>
  <si>
    <t>Selected Package</t>
  </si>
  <si>
    <t>$42000/150 persons</t>
  </si>
  <si>
    <t>$45,000/200 persons</t>
  </si>
  <si>
    <t>Cancellation by 8/17/17 - 10% fee</t>
  </si>
  <si>
    <t>Cancellation between 8/17 &amp; 9/17/17 - 25% fee</t>
  </si>
  <si>
    <t>Estimations for Maximum of 200 Attendees</t>
  </si>
  <si>
    <t>Lunch (200 persons)</t>
  </si>
  <si>
    <t>Equipment/Supplies/Meeting Coordinators</t>
  </si>
  <si>
    <t>30 - Early Bird Members @ $399</t>
  </si>
  <si>
    <t>20 - Members (after Early Bird) @ $449</t>
  </si>
  <si>
    <t>25 - Non-Members (after Early Bird) @ $499</t>
  </si>
  <si>
    <t>10 - Early Bird Member Groups @ $1795</t>
  </si>
  <si>
    <t>3 - Early Bird Non-Member Groups @ $2045</t>
  </si>
  <si>
    <t>2 - After Early Bird Member Group @ $2045</t>
  </si>
  <si>
    <t>35 - Early Bird Non-Members @ $449</t>
  </si>
  <si>
    <t>5 - ATD Detroit Board Members @ $199</t>
  </si>
  <si>
    <t>2 - After Early Bird Non-Member Groups @$2295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</si>
</sst>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9" x14ac:knownFonts="1">
    <font>
      <sz val="9"/>
      <color theme="1" tint="0.2499465926084170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 tint="0.2499465926084170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 tint="0.2499465926084170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14"/>
      <color theme="1" tint="0.14996795556505021"/>
      <name val="Calibri Light"/>
      <family val="2"/>
      <scheme val="major"/>
    </font>
    <font>
      <i/>
      <sz val="8"/>
      <color rgb="FF7F7F7F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 tint="0.24994659260841701"/>
      <name val="Calibri Light"/>
      <family val="2"/>
      <scheme val="major"/>
    </font>
    <font>
      <sz val="9"/>
      <name val="Calibri"/>
      <family val="2"/>
      <scheme val="minor"/>
    </font>
    <font>
      <sz val="9"/>
      <color theme="3" tint="0.89999084444715716"/>
      <name val="Calibri"/>
      <family val="2"/>
      <scheme val="minor"/>
    </font>
    <font>
      <i/>
      <sz val="12"/>
      <color theme="1" tint="0.24994659260841701"/>
      <name val="Calibri"/>
      <family val="2"/>
      <scheme val="minor"/>
    </font>
    <font>
      <b/>
      <sz val="10"/>
      <color theme="2"/>
      <name val="Calibri Light"/>
      <family val="2"/>
      <scheme val="major"/>
    </font>
    <font>
      <b/>
      <sz val="9"/>
      <color theme="1" tint="0.24994659260841701"/>
      <name val="Calibri"/>
      <family val="2"/>
      <scheme val="minor"/>
    </font>
    <font>
      <b/>
      <i/>
      <sz val="9"/>
      <color theme="1" tint="0.2499465926084170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89996032593768116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3" tint="0.24994659260841701"/>
      </left>
      <right style="thin">
        <color theme="3" tint="0.24994659260841701"/>
      </right>
      <top style="thin">
        <color theme="3" tint="0.24994659260841701"/>
      </top>
      <bottom style="thin">
        <color theme="3" tint="0.24994659260841701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Protection="0">
      <alignment vertical="center"/>
    </xf>
    <xf numFmtId="0" fontId="7" fillId="0" borderId="0" applyNumberFormat="0" applyProtection="0">
      <alignment vertical="center"/>
    </xf>
    <xf numFmtId="0" fontId="14" fillId="3" borderId="0" applyNumberFormat="0" applyProtection="0">
      <alignment vertical="center"/>
    </xf>
    <xf numFmtId="0" fontId="10" fillId="2" borderId="1" applyNumberFormat="0" applyProtection="0">
      <alignment horizontal="left" vertical="center" indent="1"/>
    </xf>
    <xf numFmtId="0" fontId="1" fillId="0" borderId="0" applyNumberForma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5" fillId="0" borderId="0" xfId="2" applyNumberFormat="1" applyAlignment="1"/>
    <xf numFmtId="0" fontId="6" fillId="0" borderId="0" xfId="0" applyNumberFormat="1" applyFont="1" applyAlignment="1"/>
    <xf numFmtId="164" fontId="6" fillId="0" borderId="0" xfId="0" applyNumberFormat="1" applyFont="1" applyAlignment="1">
      <alignment horizontal="right"/>
    </xf>
    <xf numFmtId="0" fontId="7" fillId="0" borderId="0" xfId="3" applyNumberFormat="1" applyAlignment="1"/>
    <xf numFmtId="0" fontId="2" fillId="0" borderId="0" xfId="0" applyNumberFormat="1" applyFont="1" applyAlignment="1"/>
    <xf numFmtId="0" fontId="8" fillId="0" borderId="0" xfId="6" applyNumberFormat="1" applyFont="1" applyAlignment="1"/>
    <xf numFmtId="0" fontId="9" fillId="0" borderId="0" xfId="0" applyNumberFormat="1" applyFont="1" applyAlignment="1"/>
    <xf numFmtId="164" fontId="9" fillId="0" borderId="0" xfId="0" applyNumberFormat="1" applyFont="1" applyAlignment="1">
      <alignment horizontal="right"/>
    </xf>
    <xf numFmtId="0" fontId="0" fillId="0" borderId="0" xfId="5" applyNumberFormat="1" applyFont="1" applyFill="1" applyBorder="1">
      <alignment horizontal="left" vertical="center" indent="1"/>
    </xf>
    <xf numFmtId="0" fontId="11" fillId="0" borderId="0" xfId="5" applyNumberFormat="1" applyFont="1" applyFill="1" applyBorder="1" applyAlignment="1">
      <alignment horizontal="left" vertical="center" wrapText="1" indent="1"/>
    </xf>
    <xf numFmtId="164" fontId="11" fillId="0" borderId="0" xfId="5" applyNumberFormat="1" applyFont="1" applyFill="1" applyBorder="1">
      <alignment horizontal="left" vertical="center" indent="1"/>
    </xf>
    <xf numFmtId="0" fontId="11" fillId="0" borderId="0" xfId="5" applyNumberFormat="1" applyFont="1" applyFill="1" applyBorder="1">
      <alignment horizontal="left" vertical="center" indent="1"/>
    </xf>
    <xf numFmtId="0" fontId="12" fillId="0" borderId="0" xfId="5" applyNumberFormat="1" applyFont="1" applyFill="1" applyBorder="1">
      <alignment horizontal="left" vertical="center" indent="1"/>
    </xf>
    <xf numFmtId="0" fontId="0" fillId="0" borderId="0" xfId="0" applyNumberFormat="1" applyFont="1" applyFill="1" applyBorder="1" applyAlignment="1">
      <alignment horizontal="left" indent="2"/>
    </xf>
    <xf numFmtId="14" fontId="0" fillId="0" borderId="0" xfId="0" applyNumberFormat="1" applyFont="1" applyFill="1" applyBorder="1" applyAlignment="1">
      <alignment horizontal="right"/>
    </xf>
    <xf numFmtId="8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left" wrapText="1" indent="2"/>
    </xf>
    <xf numFmtId="0" fontId="13" fillId="0" borderId="0" xfId="0" applyFont="1" applyFill="1" applyBorder="1" applyAlignment="1">
      <alignment horizontal="left" indent="2"/>
    </xf>
    <xf numFmtId="0" fontId="14" fillId="3" borderId="0" xfId="4" applyNumberFormat="1" applyAlignment="1">
      <alignment horizontal="left" vertical="center" indent="1"/>
    </xf>
    <xf numFmtId="0" fontId="14" fillId="3" borderId="0" xfId="4" applyNumberFormat="1" applyAlignment="1">
      <alignment horizontal="center" vertical="center"/>
    </xf>
    <xf numFmtId="164" fontId="14" fillId="3" borderId="0" xfId="4" applyNumberFormat="1" applyAlignment="1">
      <alignment horizontal="center" vertical="center"/>
    </xf>
    <xf numFmtId="0" fontId="12" fillId="0" borderId="0" xfId="5" applyNumberFormat="1" applyFont="1" applyFill="1" applyBorder="1" applyAlignment="1">
      <alignment horizontal="left" vertical="center" indent="1"/>
    </xf>
    <xf numFmtId="164" fontId="12" fillId="0" borderId="0" xfId="5" applyNumberFormat="1" applyFont="1" applyFill="1" applyBorder="1" applyAlignment="1">
      <alignment horizontal="left" vertical="center" indent="1"/>
    </xf>
    <xf numFmtId="0" fontId="4" fillId="0" borderId="0" xfId="0" applyFont="1" applyBorder="1"/>
    <xf numFmtId="0" fontId="0" fillId="0" borderId="0" xfId="5" applyNumberFormat="1" applyFont="1" applyFill="1" applyBorder="1" applyAlignment="1">
      <alignment horizontal="left" indent="2"/>
    </xf>
    <xf numFmtId="44" fontId="11" fillId="0" borderId="0" xfId="1" applyFont="1" applyFill="1" applyBorder="1" applyAlignment="1">
      <alignment horizontal="left" vertical="center" indent="1"/>
    </xf>
    <xf numFmtId="0" fontId="3" fillId="0" borderId="0" xfId="5" applyNumberFormat="1" applyFont="1" applyFill="1" applyBorder="1" applyAlignment="1">
      <alignment horizontal="left" indent="2"/>
    </xf>
    <xf numFmtId="0" fontId="0" fillId="0" borderId="0" xfId="5" applyNumberFormat="1" applyFont="1" applyFill="1" applyBorder="1" applyAlignment="1">
      <alignment horizontal="left" wrapText="1" indent="2"/>
    </xf>
    <xf numFmtId="6" fontId="11" fillId="0" borderId="0" xfId="1" applyNumberFormat="1" applyFont="1" applyFill="1" applyBorder="1" applyAlignment="1">
      <alignment horizontal="left" vertical="center" indent="1"/>
    </xf>
    <xf numFmtId="0" fontId="0" fillId="0" borderId="0" xfId="0" applyNumberFormat="1" applyFont="1" applyFill="1" applyBorder="1" applyAlignment="1">
      <alignment horizontal="left" wrapText="1"/>
    </xf>
    <xf numFmtId="44" fontId="11" fillId="0" borderId="0" xfId="1" applyFont="1" applyFill="1" applyBorder="1" applyAlignment="1">
      <alignment horizontal="right" wrapText="1"/>
    </xf>
    <xf numFmtId="8" fontId="0" fillId="0" borderId="0" xfId="0" applyNumberFormat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8" fontId="0" fillId="4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indent="2"/>
    </xf>
    <xf numFmtId="8" fontId="3" fillId="0" borderId="0" xfId="0" applyNumberFormat="1" applyFont="1" applyFill="1" applyBorder="1"/>
    <xf numFmtId="164" fontId="12" fillId="0" borderId="0" xfId="5" applyNumberFormat="1" applyFont="1" applyFill="1" applyBorder="1">
      <alignment horizontal="left" vertical="center" indent="1"/>
    </xf>
    <xf numFmtId="0" fontId="0" fillId="0" borderId="0" xfId="0" applyFont="1" applyFill="1" applyBorder="1" applyAlignment="1">
      <alignment horizontal="left" indent="2"/>
    </xf>
    <xf numFmtId="0" fontId="14" fillId="3" borderId="0" xfId="4" applyNumberFormat="1" applyAlignment="1">
      <alignment vertical="center"/>
    </xf>
    <xf numFmtId="164" fontId="14" fillId="3" borderId="0" xfId="4" applyNumberFormat="1" applyAlignment="1">
      <alignment horizontal="right" vertical="center"/>
    </xf>
    <xf numFmtId="0" fontId="15" fillId="0" borderId="2" xfId="0" applyNumberFormat="1" applyFont="1" applyBorder="1" applyAlignment="1">
      <alignment horizontal="left" indent="1"/>
    </xf>
    <xf numFmtId="8" fontId="15" fillId="5" borderId="2" xfId="0" applyNumberFormat="1" applyFont="1" applyFill="1" applyBorder="1" applyAlignment="1">
      <alignment horizontal="right"/>
    </xf>
    <xf numFmtId="0" fontId="15" fillId="0" borderId="2" xfId="0" applyNumberFormat="1" applyFont="1" applyBorder="1" applyAlignment="1">
      <alignment horizontal="right" indent="1"/>
    </xf>
    <xf numFmtId="0" fontId="16" fillId="0" borderId="2" xfId="0" applyNumberFormat="1" applyFont="1" applyBorder="1" applyAlignment="1">
      <alignment horizontal="left" indent="1"/>
    </xf>
    <xf numFmtId="8" fontId="15" fillId="0" borderId="2" xfId="0" applyNumberFormat="1" applyFont="1" applyBorder="1" applyAlignment="1">
      <alignment horizontal="right"/>
    </xf>
    <xf numFmtId="16" fontId="14" fillId="3" borderId="0" xfId="4" applyNumberFormat="1" applyAlignment="1">
      <alignment horizontal="center" vertical="center"/>
    </xf>
    <xf numFmtId="8" fontId="15" fillId="5" borderId="2" xfId="0" applyNumberFormat="1" applyFont="1" applyFill="1" applyBorder="1" applyAlignment="1">
      <alignment horizontal="right" wrapText="1"/>
    </xf>
    <xf numFmtId="0" fontId="15" fillId="0" borderId="2" xfId="0" applyNumberFormat="1" applyFont="1" applyBorder="1" applyAlignment="1">
      <alignment horizontal="left" wrapText="1" indent="1"/>
    </xf>
    <xf numFmtId="0" fontId="0" fillId="0" borderId="0" xfId="5" applyNumberFormat="1" applyFont="1" applyFill="1" applyBorder="1" applyAlignment="1">
      <alignment horizontal="left" vertical="center" wrapText="1" indent="1"/>
    </xf>
    <xf numFmtId="164" fontId="2" fillId="0" borderId="0" xfId="0" applyNumberFormat="1" applyFont="1" applyAlignment="1">
      <alignment horizontal="left"/>
    </xf>
    <xf numFmtId="16" fontId="14" fillId="3" borderId="0" xfId="4" applyNumberFormat="1" applyAlignment="1">
      <alignment horizontal="center" vertical="center"/>
    </xf>
  </cellXfs>
  <cellStyles count="7">
    <cellStyle name="Currency" xfId="1" builtinId="4"/>
    <cellStyle name="Explanatory Text" xfId="6" builtinId="53"/>
    <cellStyle name="Heading 1" xfId="2" builtinId="16"/>
    <cellStyle name="Heading 2" xfId="3" builtinId="17"/>
    <cellStyle name="Heading 3" xfId="4" builtinId="18"/>
    <cellStyle name="Heading 4" xfId="5" builtinId="19"/>
    <cellStyle name="Normal" xfId="0" builtinId="0"/>
  </cellStyles>
  <dxfs count="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color theme="1" tint="0.24994659260841701"/>
      </font>
      <fill>
        <patternFill patternType="solid">
          <fgColor theme="0" tint="-0.14996795556505021"/>
          <bgColor theme="3" tint="0.89996032593768116"/>
        </patternFill>
      </fill>
    </dxf>
    <dxf>
      <font>
        <b val="0"/>
        <i val="0"/>
        <color theme="1" tint="0.24994659260841701"/>
      </font>
      <fill>
        <patternFill>
          <bgColor theme="0" tint="-0.14996795556505021"/>
        </patternFill>
      </fill>
    </dxf>
    <dxf>
      <font>
        <b/>
        <i val="0"/>
        <color theme="1" tint="0.24994659260841701"/>
      </font>
      <fill>
        <patternFill>
          <bgColor theme="0" tint="-0.14996795556505021"/>
        </patternFill>
      </fill>
      <border>
        <top style="thin">
          <color theme="1"/>
        </top>
      </border>
    </dxf>
    <dxf>
      <font>
        <color theme="1" tint="0.24994659260841701"/>
      </font>
      <fill>
        <patternFill>
          <bgColor theme="3" tint="0.89996032593768116"/>
        </patternFill>
      </fill>
      <border>
        <bottom style="thin">
          <color theme="1"/>
        </bottom>
        <vertical/>
        <horizontal/>
      </border>
    </dxf>
    <dxf>
      <font>
        <b val="0"/>
        <i val="0"/>
        <color theme="1" tint="0.24994659260841701"/>
      </font>
      <border>
        <left style="thin">
          <color theme="3" tint="0.24994659260841701"/>
        </left>
        <right style="thin">
          <color theme="3" tint="0.24994659260841701"/>
        </right>
        <top style="thin">
          <color theme="3" tint="0.24994659260841701"/>
        </top>
        <bottom style="thin">
          <color theme="3" tint="0.24994659260841701"/>
        </bottom>
        <vertical style="thin">
          <color theme="3" tint="0.24994659260841701"/>
        </vertical>
        <horizontal style="thin">
          <color theme="3" tint="0.24994659260841701"/>
        </horizontal>
      </border>
    </dxf>
  </dxfs>
  <tableStyles count="1" defaultTableStyle="TableStyleMedium2" defaultPivotStyle="PivotStyleLight16">
    <tableStyle name="Detailed expense estimates Table" pivot="0" count="5" xr9:uid="{00000000-0011-0000-FFFF-FFFF00000000}">
      <tableStyleElement type="wholeTable" dxfId="76"/>
      <tableStyleElement type="headerRow" dxfId="75"/>
      <tableStyleElement type="totalRow" dxfId="74"/>
      <tableStyleElement type="lastColumn" dxfId="73"/>
      <tableStyleElement type="firstRowStripe" dxfId="7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57150</xdr:rowOff>
    </xdr:from>
    <xdr:to>
      <xdr:col>12</xdr:col>
      <xdr:colOff>142875</xdr:colOff>
      <xdr:row>1</xdr:row>
      <xdr:rowOff>285750</xdr:rowOff>
    </xdr:to>
    <xdr:sp macro="" textlink="">
      <xdr:nvSpPr>
        <xdr:cNvPr id="2" name="Rectangle 1" descr="Tip on how to use this template." title="Ti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714750" y="57150"/>
          <a:ext cx="6896100" cy="352425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000" b="1">
              <a:solidFill>
                <a:schemeClr val="bg1"/>
              </a:solidFill>
              <a:latin typeface="+mj-lt"/>
            </a:rPr>
            <a:t>Disney Signature Event</a:t>
          </a:r>
        </a:p>
        <a:p>
          <a:pPr algn="l"/>
          <a:endParaRPr lang="en-US" sz="1000">
            <a:solidFill>
              <a:schemeClr val="bg1"/>
            </a:solidFill>
            <a:latin typeface="+mn-lt"/>
          </a:endParaRPr>
        </a:p>
      </xdr:txBody>
    </xdr:sp>
    <xdr:clientData fPrintsWithSheet="0"/>
  </xdr:twoCellAnchor>
  <xdr:twoCellAnchor editAs="oneCell">
    <xdr:from>
      <xdr:col>12</xdr:col>
      <xdr:colOff>247650</xdr:colOff>
      <xdr:row>0</xdr:row>
      <xdr:rowOff>66675</xdr:rowOff>
    </xdr:from>
    <xdr:to>
      <xdr:col>14</xdr:col>
      <xdr:colOff>819150</xdr:colOff>
      <xdr:row>3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25" y="66675"/>
          <a:ext cx="2362200" cy="790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adpcorp.com/My%20Documents/CMS%20Team/February%202008%20Workshop/Change%20Triggers/Change%20Triggers%20Template%20UPDATED%20DRAFT%203.4.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adpcorp.com/My%20Documents/Conseco/Change%20Trigger%20Matrix/CMS_Change_Triggers_Conseco_102908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d-vfs-prd-1\Users$\shannonl\Documents\GroupWise\Core%20HR%20UAT_UltiPro%20HR%20FunctionalUAT%20Tracking_Day%20-%201-25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ists"/>
      <sheetName val="Change Triggers"/>
    </sheetNames>
    <sheetDataSet>
      <sheetData sheetId="0"/>
      <sheetData sheetId="1"/>
      <sheetData sheetId="2">
        <row r="7">
          <cell r="Q7" t="str">
            <v>Benefits</v>
          </cell>
        </row>
        <row r="8">
          <cell r="Q8" t="str">
            <v>HR</v>
          </cell>
        </row>
        <row r="9">
          <cell r="Q9" t="str">
            <v>Employee Service Center</v>
          </cell>
        </row>
        <row r="10">
          <cell r="Q10" t="str">
            <v>ESS/MSS</v>
          </cell>
        </row>
        <row r="11">
          <cell r="Q11" t="str">
            <v>Payroll</v>
          </cell>
        </row>
        <row r="12">
          <cell r="Q12" t="str">
            <v>Time &amp; Labor</v>
          </cell>
        </row>
        <row r="13">
          <cell r="Q13" t="str">
            <v>TWN</v>
          </cell>
        </row>
        <row r="14">
          <cell r="Q14" t="str">
            <v>Virtual Edge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nge Triggers"/>
    </sheetNames>
    <sheetDataSet>
      <sheetData sheetId="0"/>
      <sheetData sheetId="1">
        <row r="178">
          <cell r="A178" t="str">
            <v>HR</v>
          </cell>
          <cell r="C178" t="str">
            <v>Win</v>
          </cell>
        </row>
        <row r="179">
          <cell r="A179" t="str">
            <v>Benefits</v>
          </cell>
          <cell r="C179" t="str">
            <v>Loss</v>
          </cell>
        </row>
        <row r="180">
          <cell r="A180" t="str">
            <v>Employee Service Center</v>
          </cell>
          <cell r="C180" t="str">
            <v>Neutral</v>
          </cell>
        </row>
        <row r="181">
          <cell r="A181" t="str">
            <v>ESS/MSS</v>
          </cell>
          <cell r="C181" t="str">
            <v>TBD</v>
          </cell>
        </row>
        <row r="182">
          <cell r="A182" t="str">
            <v>Payroll</v>
          </cell>
        </row>
        <row r="183">
          <cell r="A183" t="str">
            <v>Time &amp; Labor</v>
          </cell>
        </row>
        <row r="184">
          <cell r="A184" t="str">
            <v>TWN</v>
          </cell>
        </row>
        <row r="185">
          <cell r="A185" t="str">
            <v>UCM</v>
          </cell>
        </row>
        <row r="186">
          <cell r="A186" t="str">
            <v>Virtual Edge</v>
          </cell>
        </row>
        <row r="187">
          <cell r="A187" t="str">
            <v>Garnishments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AT Results Summary"/>
      <sheetName val="Employee Admin"/>
      <sheetName val="Standard Reports"/>
      <sheetName val="Employee"/>
      <sheetName val="CoD"/>
      <sheetName val="Drop Down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Passed</v>
          </cell>
          <cell r="C1">
            <v>42394</v>
          </cell>
        </row>
        <row r="2">
          <cell r="A2" t="str">
            <v>Failed</v>
          </cell>
          <cell r="C2">
            <v>42395</v>
          </cell>
        </row>
        <row r="3">
          <cell r="A3" t="str">
            <v>Process Gap</v>
          </cell>
          <cell r="C3">
            <v>42396</v>
          </cell>
        </row>
        <row r="4">
          <cell r="C4">
            <v>42397</v>
          </cell>
        </row>
        <row r="5">
          <cell r="C5">
            <v>42398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MarkPlan20" displayName="tblMarkPlan20" ref="B5:O14" totalsRowCount="1">
  <autoFilter ref="B5:O1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000-000001000000}" name="Proposed Pricing" totalsRowLabel="*These are just hypothetical amounts that can be changed to whatever the board decides." totalsRowDxfId="71"/>
    <tableColumn id="2" xr3:uid="{00000000-0010-0000-0000-000002000000}" name="Deadline Date" totalsRowDxfId="70"/>
    <tableColumn id="3" xr3:uid="{00000000-0010-0000-0000-000003000000}" name="Registration Fee" totalsRowDxfId="69"/>
    <tableColumn id="4" xr3:uid="{00000000-0010-0000-0000-000004000000}" name="Column1" totalsRowDxfId="68"/>
    <tableColumn id="5" xr3:uid="{00000000-0010-0000-0000-000005000000}" name="Column2" totalsRowDxfId="67"/>
    <tableColumn id="6" xr3:uid="{00000000-0010-0000-0000-000006000000}" name="Column3" totalsRowDxfId="66"/>
    <tableColumn id="7" xr3:uid="{00000000-0010-0000-0000-000007000000}" name="Column4" totalsRowDxfId="65"/>
    <tableColumn id="8" xr3:uid="{00000000-0010-0000-0000-000008000000}" name="July" totalsRowDxfId="64"/>
    <tableColumn id="9" xr3:uid="{00000000-0010-0000-0000-000009000000}" name="August" totalsRowDxfId="63"/>
    <tableColumn id="10" xr3:uid="{00000000-0010-0000-0000-00000A000000}" name="September" totalsRowDxfId="62"/>
    <tableColumn id="11" xr3:uid="{00000000-0010-0000-0000-00000B000000}" name="October" totalsRowDxfId="61"/>
    <tableColumn id="12" xr3:uid="{00000000-0010-0000-0000-00000C000000}" name="November" totalsRowDxfId="60"/>
    <tableColumn id="13" xr3:uid="{00000000-0010-0000-0000-00000D000000}" name="December" totalsRowDxfId="59"/>
    <tableColumn id="14" xr3:uid="{00000000-0010-0000-0000-00000E000000}" name="January" totalsRowDxfId="58"/>
  </tableColumns>
  <tableStyleInfo name="Detailed expense estimates Table" showFirstColumn="0" showLastColumn="1" showRowStripes="0" showColumnStripes="0"/>
  <extLst>
    <ext xmlns:x14="http://schemas.microsoft.com/office/spreadsheetml/2009/9/main" uri="{504A1905-F514-4f6f-8877-14C23A59335A}">
      <x14:table altText="Marketing costs table" altTextSummary="Enter marketing planned costs per month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EmplPlan22" displayName="tblEmplPlan22" ref="B57:O68" totalsRowCount="1">
  <autoFilter ref="B57:O67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100-000001000000}" name="Column1" totalsRowLabel="Subtotal" dataDxfId="57" totalsRowDxfId="56"/>
    <tableColumn id="2" xr3:uid="{00000000-0010-0000-0100-000002000000}" name="Jan" totalsRowFunction="sum" totalsRowDxfId="55"/>
    <tableColumn id="3" xr3:uid="{00000000-0010-0000-0100-000003000000}" name="Feb" totalsRowFunction="sum" totalsRowDxfId="54"/>
    <tableColumn id="4" xr3:uid="{00000000-0010-0000-0100-000004000000}" name="Mar" totalsRowFunction="sum" totalsRowDxfId="53"/>
    <tableColumn id="5" xr3:uid="{00000000-0010-0000-0100-000005000000}" name="Apr" totalsRowFunction="sum" totalsRowDxfId="52"/>
    <tableColumn id="6" xr3:uid="{00000000-0010-0000-0100-000006000000}" name="May" totalsRowFunction="sum" totalsRowDxfId="51"/>
    <tableColumn id="7" xr3:uid="{00000000-0010-0000-0100-000007000000}" name="Jun" totalsRowFunction="sum" totalsRowDxfId="50"/>
    <tableColumn id="8" xr3:uid="{00000000-0010-0000-0100-000008000000}" name="Jul" totalsRowFunction="sum" totalsRowDxfId="49"/>
    <tableColumn id="9" xr3:uid="{00000000-0010-0000-0100-000009000000}" name="Aug" totalsRowFunction="sum" totalsRowDxfId="48"/>
    <tableColumn id="10" xr3:uid="{00000000-0010-0000-0100-00000A000000}" name="Sep" totalsRowFunction="sum" totalsRowDxfId="47"/>
    <tableColumn id="11" xr3:uid="{00000000-0010-0000-0100-00000B000000}" name="Oct" totalsRowFunction="sum" totalsRowDxfId="46"/>
    <tableColumn id="12" xr3:uid="{00000000-0010-0000-0100-00000C000000}" name="Nov" totalsRowFunction="sum" totalsRowDxfId="45"/>
    <tableColumn id="13" xr3:uid="{00000000-0010-0000-0100-00000D000000}" name="Dec" totalsRowFunction="sum" totalsRowDxfId="44"/>
    <tableColumn id="14" xr3:uid="{00000000-0010-0000-0100-00000E000000}" name="YEAR" totalsRowDxfId="43">
      <calculatedColumnFormula>SUM(C58:N58)</calculatedColumnFormula>
    </tableColumn>
  </tableColumns>
  <tableStyleInfo name="Detailed expense estimates Table" showFirstColumn="0" showLastColumn="1" showRowStripes="0" showColumnStripes="0"/>
  <extLst>
    <ext xmlns:x14="http://schemas.microsoft.com/office/spreadsheetml/2009/9/main" uri="{504A1905-F514-4f6f-8877-14C23A59335A}">
      <x14:table altText="Table" altTextSummary="Enter planned employee costs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blEmplPlan1423" displayName="tblEmplPlan1423" ref="B18:O29" totalsRowCount="1">
  <autoFilter ref="B18:O28" xr:uid="{00000000-0009-0000-0100-000003000000}"/>
  <tableColumns count="14">
    <tableColumn id="1" xr3:uid="{00000000-0010-0000-0200-000001000000}" name="Disney Signature Event" totalsRowLabel="Subtotal" dataDxfId="42" totalsRowDxfId="41"/>
    <tableColumn id="2" xr3:uid="{00000000-0010-0000-0200-000002000000}" name="Jan" totalsRowFunction="sum" totalsRowDxfId="40"/>
    <tableColumn id="3" xr3:uid="{00000000-0010-0000-0200-000003000000}" name="Feb" totalsRowFunction="sum" totalsRowDxfId="39"/>
    <tableColumn id="4" xr3:uid="{00000000-0010-0000-0200-000004000000}" name="Mar" totalsRowFunction="sum" totalsRowDxfId="38"/>
    <tableColumn id="5" xr3:uid="{00000000-0010-0000-0200-000005000000}" name="Apr" totalsRowFunction="sum" totalsRowDxfId="37"/>
    <tableColumn id="6" xr3:uid="{00000000-0010-0000-0200-000006000000}" name="May" totalsRowFunction="sum" totalsRowDxfId="36"/>
    <tableColumn id="7" xr3:uid="{00000000-0010-0000-0200-000007000000}" name="Jun" totalsRowFunction="sum" totalsRowDxfId="35"/>
    <tableColumn id="8" xr3:uid="{00000000-0010-0000-0200-000008000000}" name="Jul" totalsRowFunction="sum" totalsRowDxfId="34"/>
    <tableColumn id="9" xr3:uid="{00000000-0010-0000-0200-000009000000}" name="Aug" totalsRowFunction="sum" totalsRowDxfId="33"/>
    <tableColumn id="10" xr3:uid="{00000000-0010-0000-0200-00000A000000}" name="Sep" totalsRowFunction="sum" totalsRowDxfId="32"/>
    <tableColumn id="11" xr3:uid="{00000000-0010-0000-0200-00000B000000}" name="Oct" totalsRowFunction="sum" totalsRowDxfId="31"/>
    <tableColumn id="12" xr3:uid="{00000000-0010-0000-0200-00000C000000}" name="Nov" totalsRowFunction="sum" totalsRowDxfId="30"/>
    <tableColumn id="13" xr3:uid="{00000000-0010-0000-0200-00000D000000}" name="Dec" totalsRowDxfId="29"/>
    <tableColumn id="14" xr3:uid="{00000000-0010-0000-0200-00000E000000}" name="YEAR" totalsRowDxfId="28"/>
  </tableColumns>
  <tableStyleInfo name="Detailed expense estimates Table" showFirstColumn="0" showLastColumn="1" showRowStripes="0" showColumnStripes="0"/>
  <extLst>
    <ext xmlns:x14="http://schemas.microsoft.com/office/spreadsheetml/2009/9/main" uri="{504A1905-F514-4f6f-8877-14C23A59335A}">
      <x14:table altText="Table" altTextSummary="Enter planned employee costs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blMarkPlan2024" displayName="tblMarkPlan2024" ref="B32:O39" totalsRowCount="1">
  <autoFilter ref="B32:O38" xr:uid="{00000000-0009-0000-0100-000004000000}"/>
  <tableColumns count="14">
    <tableColumn id="1" xr3:uid="{00000000-0010-0000-0300-000001000000}" name="Estimated Registration" totalsRowLabel="Subtotal" totalsRowDxfId="27"/>
    <tableColumn id="2" xr3:uid="{00000000-0010-0000-0300-000002000000}" name="Jan" totalsRowFunction="custom" totalsRowDxfId="26">
      <totalsRowFormula>SUM(tblMarkPlan2024[Jan])</totalsRowFormula>
    </tableColumn>
    <tableColumn id="3" xr3:uid="{00000000-0010-0000-0300-000003000000}" name="Feb" totalsRowFunction="sum" totalsRowDxfId="25"/>
    <tableColumn id="4" xr3:uid="{00000000-0010-0000-0300-000004000000}" name="Mar" totalsRowFunction="sum" totalsRowDxfId="24"/>
    <tableColumn id="5" xr3:uid="{00000000-0010-0000-0300-000005000000}" name="Apr" totalsRowFunction="sum" totalsRowDxfId="23"/>
    <tableColumn id="6" xr3:uid="{00000000-0010-0000-0300-000006000000}" name="May" totalsRowFunction="sum" totalsRowDxfId="22"/>
    <tableColumn id="7" xr3:uid="{00000000-0010-0000-0300-000007000000}" name="Jun" totalsRowFunction="sum" totalsRowDxfId="21"/>
    <tableColumn id="8" xr3:uid="{00000000-0010-0000-0300-000008000000}" name="Jul" totalsRowFunction="sum" totalsRowDxfId="20"/>
    <tableColumn id="9" xr3:uid="{00000000-0010-0000-0300-000009000000}" name="Aug" totalsRowFunction="sum" totalsRowDxfId="19"/>
    <tableColumn id="10" xr3:uid="{00000000-0010-0000-0300-00000A000000}" name="Sep" totalsRowFunction="sum" totalsRowDxfId="18"/>
    <tableColumn id="11" xr3:uid="{00000000-0010-0000-0300-00000B000000}" name="Oct" totalsRowFunction="sum" totalsRowDxfId="17"/>
    <tableColumn id="12" xr3:uid="{00000000-0010-0000-0300-00000C000000}" name="Nov" totalsRowFunction="sum" totalsRowDxfId="16"/>
    <tableColumn id="13" xr3:uid="{00000000-0010-0000-0300-00000D000000}" name="Dec" totalsRowFunction="sum" totalsRowDxfId="15"/>
    <tableColumn id="14" xr3:uid="{00000000-0010-0000-0300-00000E000000}" name="YEAR" totalsRowFunction="sum" totalsRowDxfId="14">
      <calculatedColumnFormula>SUM(C33:N33)</calculatedColumnFormula>
    </tableColumn>
  </tableColumns>
  <tableStyleInfo name="Detailed expense estimates Table" showFirstColumn="0" showLastColumn="1" showRowStripes="0" showColumnStripes="0"/>
  <extLst>
    <ext xmlns:x14="http://schemas.microsoft.com/office/spreadsheetml/2009/9/main" uri="{504A1905-F514-4f6f-8877-14C23A59335A}">
      <x14:table altText="Marketing costs table" altTextSummary="Enter marketing planned costs per month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blMarkPlan202425" displayName="tblMarkPlan202425" ref="B71:O81" totalsRowCount="1">
  <autoFilter ref="B71:O80" xr:uid="{00000000-0009-0000-0100-000005000000}"/>
  <tableColumns count="14">
    <tableColumn id="1" xr3:uid="{00000000-0010-0000-0400-000001000000}" name="Estimated Registration" totalsRowLabel="Subtotal" totalsRowDxfId="13"/>
    <tableColumn id="2" xr3:uid="{00000000-0010-0000-0400-000002000000}" name="Jan" totalsRowFunction="custom" totalsRowDxfId="12">
      <totalsRowFormula>SUM(tblMarkPlan202425[Jan])</totalsRowFormula>
    </tableColumn>
    <tableColumn id="3" xr3:uid="{00000000-0010-0000-0400-000003000000}" name="Feb" totalsRowFunction="sum" totalsRowDxfId="11"/>
    <tableColumn id="4" xr3:uid="{00000000-0010-0000-0400-000004000000}" name="Mar" totalsRowFunction="sum" totalsRowDxfId="10"/>
    <tableColumn id="5" xr3:uid="{00000000-0010-0000-0400-000005000000}" name="Apr" totalsRowFunction="sum" totalsRowDxfId="9"/>
    <tableColumn id="6" xr3:uid="{00000000-0010-0000-0400-000006000000}" name="May" totalsRowFunction="sum" totalsRowDxfId="8"/>
    <tableColumn id="7" xr3:uid="{00000000-0010-0000-0400-000007000000}" name="Jun" totalsRowFunction="sum" totalsRowDxfId="7"/>
    <tableColumn id="8" xr3:uid="{00000000-0010-0000-0400-000008000000}" name="Jul" totalsRowFunction="sum" totalsRowDxfId="6"/>
    <tableColumn id="9" xr3:uid="{00000000-0010-0000-0400-000009000000}" name="Aug" totalsRowFunction="sum" totalsRowDxfId="5"/>
    <tableColumn id="10" xr3:uid="{00000000-0010-0000-0400-00000A000000}" name="Sep" totalsRowFunction="sum" totalsRowDxfId="4"/>
    <tableColumn id="11" xr3:uid="{00000000-0010-0000-0400-00000B000000}" name="Oct" totalsRowFunction="sum" totalsRowDxfId="3"/>
    <tableColumn id="12" xr3:uid="{00000000-0010-0000-0400-00000C000000}" name="Nov" totalsRowFunction="sum" totalsRowDxfId="2"/>
    <tableColumn id="13" xr3:uid="{00000000-0010-0000-0400-00000D000000}" name="Dec" totalsRowFunction="sum" totalsRowDxfId="1"/>
    <tableColumn id="14" xr3:uid="{00000000-0010-0000-0400-00000E000000}" name="YEAR" totalsRowFunction="sum" totalsRowDxfId="0">
      <calculatedColumnFormula>SUM(C72:N72)</calculatedColumnFormula>
    </tableColumn>
  </tableColumns>
  <tableStyleInfo name="Detailed expense estimates Table" showFirstColumn="0" showLastColumn="1" showRowStripes="0" showColumnStripes="0"/>
  <extLst>
    <ext xmlns:x14="http://schemas.microsoft.com/office/spreadsheetml/2009/9/main" uri="{504A1905-F514-4f6f-8877-14C23A59335A}">
      <x14:table altText="Marketing costs table" altTextSummary="Enter marketing planned costs per month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O102"/>
  <sheetViews>
    <sheetView showGridLines="0" tabSelected="1" workbookViewId="0">
      <selection activeCell="D81" sqref="D81"/>
    </sheetView>
  </sheetViews>
  <sheetFormatPr defaultColWidth="9.33203125" defaultRowHeight="21" customHeight="1" x14ac:dyDescent="0.3"/>
  <cols>
    <col min="1" max="1" width="2" style="1" customWidth="1"/>
    <col min="2" max="2" width="33.5" style="1" customWidth="1"/>
    <col min="3" max="3" width="14.5" style="1" customWidth="1"/>
    <col min="4" max="4" width="14.83203125" style="1" customWidth="1"/>
    <col min="5" max="9" width="13.83203125" style="1" bestFit="1" customWidth="1"/>
    <col min="10" max="11" width="15.6640625" style="1" bestFit="1" customWidth="1"/>
    <col min="12" max="12" width="17.83203125" style="1" customWidth="1"/>
    <col min="13" max="15" width="15.6640625" style="1" bestFit="1" customWidth="1"/>
    <col min="16" max="16384" width="9.33203125" style="1"/>
  </cols>
  <sheetData>
    <row r="1" spans="1:15" ht="9.9499999999999993" customHeight="1" x14ac:dyDescent="0.3">
      <c r="A1" s="1" t="s">
        <v>0</v>
      </c>
    </row>
    <row r="2" spans="1:15" ht="28.5" x14ac:dyDescent="0.45">
      <c r="B2" s="2" t="s">
        <v>1</v>
      </c>
      <c r="C2" s="2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9.5" customHeight="1" x14ac:dyDescent="0.3">
      <c r="B3" s="5" t="s">
        <v>2</v>
      </c>
      <c r="C3" s="6"/>
      <c r="D3" s="51"/>
      <c r="E3" s="51"/>
      <c r="F3" s="51"/>
      <c r="G3" s="51"/>
      <c r="H3" s="51"/>
      <c r="I3" s="51"/>
      <c r="J3" s="51"/>
      <c r="K3" s="51"/>
      <c r="L3" s="51"/>
      <c r="M3" s="6"/>
      <c r="N3" s="6"/>
      <c r="O3" s="6"/>
    </row>
    <row r="4" spans="1:15" ht="15" customHeight="1" x14ac:dyDescent="0.3">
      <c r="B4" s="7"/>
      <c r="C4" s="8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ht="26.25" customHeight="1" x14ac:dyDescent="0.3">
      <c r="B5" s="10" t="s">
        <v>3</v>
      </c>
      <c r="C5" s="11" t="s">
        <v>4</v>
      </c>
      <c r="D5" s="11" t="s">
        <v>5</v>
      </c>
      <c r="E5" s="12" t="s">
        <v>6</v>
      </c>
      <c r="F5" s="13" t="s">
        <v>7</v>
      </c>
      <c r="G5" s="13" t="s">
        <v>8</v>
      </c>
      <c r="H5" s="13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4" t="s">
        <v>14</v>
      </c>
      <c r="N5" s="14" t="s">
        <v>15</v>
      </c>
      <c r="O5" s="14" t="s">
        <v>16</v>
      </c>
    </row>
    <row r="6" spans="1:15" ht="21" customHeight="1" x14ac:dyDescent="0.3">
      <c r="B6" s="15" t="s">
        <v>17</v>
      </c>
      <c r="C6" s="16">
        <v>42916</v>
      </c>
      <c r="D6" s="17">
        <v>399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1" customHeight="1" x14ac:dyDescent="0.3">
      <c r="B7" s="15" t="s">
        <v>18</v>
      </c>
      <c r="C7" s="16">
        <v>42916</v>
      </c>
      <c r="D7" s="17">
        <v>449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36" customHeight="1" x14ac:dyDescent="0.3">
      <c r="B8" s="18" t="s">
        <v>19</v>
      </c>
      <c r="C8" s="16">
        <v>42916</v>
      </c>
      <c r="D8" s="17">
        <v>1795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36" customHeight="1" x14ac:dyDescent="0.3">
      <c r="B9" s="18" t="s">
        <v>20</v>
      </c>
      <c r="C9" s="16">
        <v>42916</v>
      </c>
      <c r="D9" s="17">
        <v>2045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21" customHeight="1" x14ac:dyDescent="0.3">
      <c r="B10" s="15" t="s">
        <v>21</v>
      </c>
      <c r="C10" s="17" t="s">
        <v>22</v>
      </c>
      <c r="D10" s="17">
        <v>449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ht="21" customHeight="1" x14ac:dyDescent="0.3">
      <c r="B11" s="15" t="s">
        <v>23</v>
      </c>
      <c r="C11" s="17" t="s">
        <v>22</v>
      </c>
      <c r="D11" s="17">
        <v>499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33" customHeight="1" x14ac:dyDescent="0.3">
      <c r="B12" s="18" t="s">
        <v>24</v>
      </c>
      <c r="C12" s="17" t="s">
        <v>22</v>
      </c>
      <c r="D12" s="17">
        <v>2045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31.5" customHeight="1" x14ac:dyDescent="0.3">
      <c r="B13" s="18" t="s">
        <v>25</v>
      </c>
      <c r="C13" s="17" t="s">
        <v>22</v>
      </c>
      <c r="D13" s="17">
        <v>2295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21" customHeight="1" x14ac:dyDescent="0.3">
      <c r="B14" s="19" t="s">
        <v>26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6" spans="1:15" ht="15" hidden="1" customHeight="1" x14ac:dyDescent="0.3">
      <c r="B16" s="7"/>
      <c r="C16" s="8"/>
      <c r="D16" s="8"/>
      <c r="E16" s="9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2:15" ht="21" hidden="1" customHeight="1" x14ac:dyDescent="0.3">
      <c r="B17" s="20" t="s">
        <v>27</v>
      </c>
      <c r="C17" s="52" t="s">
        <v>28</v>
      </c>
      <c r="D17" s="52"/>
      <c r="E17" s="52"/>
      <c r="F17" s="52"/>
      <c r="G17" s="52"/>
      <c r="H17" s="21"/>
      <c r="I17" s="22"/>
      <c r="J17" s="21"/>
      <c r="K17" s="21"/>
      <c r="L17" s="21"/>
      <c r="M17" s="21"/>
      <c r="N17" s="22"/>
      <c r="O17" s="21"/>
    </row>
    <row r="18" spans="2:15" s="25" customFormat="1" ht="21" hidden="1" customHeight="1" x14ac:dyDescent="0.3">
      <c r="B18" s="10" t="s">
        <v>29</v>
      </c>
      <c r="C18" s="23" t="s">
        <v>30</v>
      </c>
      <c r="D18" s="23" t="s">
        <v>31</v>
      </c>
      <c r="E18" s="24" t="s">
        <v>32</v>
      </c>
      <c r="F18" s="23" t="s">
        <v>33</v>
      </c>
      <c r="G18" s="23" t="s">
        <v>34</v>
      </c>
      <c r="H18" s="23" t="s">
        <v>35</v>
      </c>
      <c r="I18" s="23" t="s">
        <v>36</v>
      </c>
      <c r="J18" s="23" t="s">
        <v>37</v>
      </c>
      <c r="K18" s="23" t="s">
        <v>38</v>
      </c>
      <c r="L18" s="23" t="s">
        <v>39</v>
      </c>
      <c r="M18" s="23" t="s">
        <v>40</v>
      </c>
      <c r="N18" s="23" t="s">
        <v>41</v>
      </c>
      <c r="O18" s="23" t="s">
        <v>42</v>
      </c>
    </row>
    <row r="19" spans="2:15" s="25" customFormat="1" ht="21" hidden="1" customHeight="1" x14ac:dyDescent="0.3">
      <c r="B19" s="26" t="s">
        <v>43</v>
      </c>
      <c r="C19" s="27">
        <v>42000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17"/>
    </row>
    <row r="20" spans="2:15" s="25" customFormat="1" ht="21" hidden="1" customHeight="1" x14ac:dyDescent="0.3">
      <c r="B20" s="28" t="s">
        <v>44</v>
      </c>
      <c r="C20" s="27">
        <v>0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17"/>
    </row>
    <row r="21" spans="2:15" s="25" customFormat="1" ht="21" hidden="1" customHeight="1" x14ac:dyDescent="0.3">
      <c r="B21" s="26" t="s">
        <v>45</v>
      </c>
      <c r="C21" s="27">
        <v>250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7"/>
    </row>
    <row r="22" spans="2:15" s="25" customFormat="1" ht="21" hidden="1" customHeight="1" x14ac:dyDescent="0.3">
      <c r="B22" s="26" t="s">
        <v>46</v>
      </c>
      <c r="C22" s="27">
        <v>375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7"/>
    </row>
    <row r="23" spans="2:15" s="25" customFormat="1" ht="21" hidden="1" customHeight="1" x14ac:dyDescent="0.3">
      <c r="B23" s="15" t="s">
        <v>47</v>
      </c>
      <c r="C23" s="27">
        <v>3000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17"/>
    </row>
    <row r="24" spans="2:15" s="25" customFormat="1" ht="33.75" hidden="1" customHeight="1" x14ac:dyDescent="0.3">
      <c r="B24" s="29" t="s">
        <v>48</v>
      </c>
      <c r="C24" s="27">
        <v>1000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17"/>
    </row>
    <row r="25" spans="2:15" s="25" customFormat="1" ht="32.25" hidden="1" customHeight="1" x14ac:dyDescent="0.3">
      <c r="B25" s="29" t="s">
        <v>49</v>
      </c>
      <c r="C25" s="27">
        <v>1000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17"/>
    </row>
    <row r="26" spans="2:15" s="25" customFormat="1" ht="21" hidden="1" customHeight="1" x14ac:dyDescent="0.3">
      <c r="B26" s="26" t="s">
        <v>50</v>
      </c>
      <c r="C26" s="30">
        <v>200</v>
      </c>
      <c r="I26" s="27"/>
      <c r="J26" s="27"/>
      <c r="K26" s="27"/>
      <c r="L26" s="27"/>
      <c r="M26" s="27"/>
      <c r="N26" s="27"/>
      <c r="O26" s="17"/>
    </row>
    <row r="27" spans="2:15" s="34" customFormat="1" ht="29.25" hidden="1" customHeight="1" x14ac:dyDescent="0.3">
      <c r="B27" s="31" t="s">
        <v>51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3"/>
    </row>
    <row r="28" spans="2:15" ht="21" hidden="1" customHeight="1" x14ac:dyDescent="0.3">
      <c r="B28" s="1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17"/>
    </row>
    <row r="29" spans="2:15" ht="21" hidden="1" customHeight="1" x14ac:dyDescent="0.3">
      <c r="B29" s="36" t="s">
        <v>52</v>
      </c>
      <c r="C29" s="37">
        <f>SUBTOTAL(109,tblEmplPlan1423[Jan])</f>
        <v>0</v>
      </c>
      <c r="D29" s="37">
        <f>SUBTOTAL(109,tblEmplPlan1423[Feb])</f>
        <v>0</v>
      </c>
      <c r="E29" s="37">
        <f>SUBTOTAL(109,tblEmplPlan1423[Mar])</f>
        <v>0</v>
      </c>
      <c r="F29" s="37">
        <f>SUBTOTAL(109,tblEmplPlan1423[Apr])</f>
        <v>0</v>
      </c>
      <c r="G29" s="37">
        <f>SUBTOTAL(109,tblEmplPlan1423[May])</f>
        <v>0</v>
      </c>
      <c r="H29" s="37">
        <f>SUBTOTAL(109,tblEmplPlan1423[Jun])</f>
        <v>0</v>
      </c>
      <c r="I29" s="37">
        <f>SUBTOTAL(109,tblEmplPlan1423[Jul])</f>
        <v>0</v>
      </c>
      <c r="J29" s="37">
        <f>SUBTOTAL(109,tblEmplPlan1423[Aug])</f>
        <v>0</v>
      </c>
      <c r="K29" s="37">
        <f>SUBTOTAL(109,tblEmplPlan1423[Sep])</f>
        <v>0</v>
      </c>
      <c r="L29" s="37">
        <f>SUBTOTAL(109,tblEmplPlan1423[Oct])</f>
        <v>0</v>
      </c>
      <c r="M29" s="37">
        <f>SUBTOTAL(109,tblEmplPlan1423[Nov])</f>
        <v>0</v>
      </c>
      <c r="N29" s="37"/>
      <c r="O29" s="37"/>
    </row>
    <row r="30" spans="2:15" ht="21" hidden="1" customHeight="1" x14ac:dyDescent="0.3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</row>
    <row r="31" spans="2:15" ht="15" hidden="1" customHeight="1" x14ac:dyDescent="0.3">
      <c r="B31" s="7"/>
      <c r="C31" s="8"/>
      <c r="D31" s="8"/>
      <c r="E31" s="9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2:15" ht="21" hidden="1" customHeight="1" x14ac:dyDescent="0.3">
      <c r="B32" s="10" t="s">
        <v>53</v>
      </c>
      <c r="C32" s="14" t="s">
        <v>30</v>
      </c>
      <c r="D32" s="14" t="s">
        <v>31</v>
      </c>
      <c r="E32" s="38" t="s">
        <v>32</v>
      </c>
      <c r="F32" s="14" t="s">
        <v>33</v>
      </c>
      <c r="G32" s="14" t="s">
        <v>34</v>
      </c>
      <c r="H32" s="14" t="s">
        <v>35</v>
      </c>
      <c r="I32" s="14" t="s">
        <v>36</v>
      </c>
      <c r="J32" s="14" t="s">
        <v>37</v>
      </c>
      <c r="K32" s="14" t="s">
        <v>38</v>
      </c>
      <c r="L32" s="14" t="s">
        <v>39</v>
      </c>
      <c r="M32" s="14" t="s">
        <v>40</v>
      </c>
      <c r="N32" s="14" t="s">
        <v>41</v>
      </c>
      <c r="O32" s="14" t="s">
        <v>42</v>
      </c>
    </row>
    <row r="33" spans="2:15" ht="21" hidden="1" customHeight="1" x14ac:dyDescent="0.3">
      <c r="B33" s="15" t="s">
        <v>54</v>
      </c>
      <c r="C33" s="17">
        <v>12000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>
        <f t="shared" ref="O33:O38" si="0">SUM(C33:N33)</f>
        <v>12000</v>
      </c>
    </row>
    <row r="34" spans="2:15" ht="36.75" hidden="1" customHeight="1" x14ac:dyDescent="0.3">
      <c r="B34" s="18" t="s">
        <v>55</v>
      </c>
      <c r="C34" s="17">
        <v>15750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>
        <f t="shared" si="0"/>
        <v>15750</v>
      </c>
    </row>
    <row r="35" spans="2:15" ht="21" hidden="1" customHeight="1" x14ac:dyDescent="0.3">
      <c r="B35" s="15" t="s">
        <v>56</v>
      </c>
      <c r="C35" s="17">
        <v>13500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>
        <f t="shared" si="0"/>
        <v>13500</v>
      </c>
    </row>
    <row r="36" spans="2:15" ht="33" hidden="1" customHeight="1" x14ac:dyDescent="0.3">
      <c r="B36" s="18" t="s">
        <v>57</v>
      </c>
      <c r="C36" s="17">
        <v>20000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>
        <f t="shared" si="0"/>
        <v>20000</v>
      </c>
    </row>
    <row r="37" spans="2:15" ht="21" hidden="1" customHeight="1" x14ac:dyDescent="0.3">
      <c r="B37" s="15" t="s">
        <v>58</v>
      </c>
      <c r="C37" s="17">
        <v>3600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>
        <f t="shared" si="0"/>
        <v>3600</v>
      </c>
    </row>
    <row r="38" spans="2:15" ht="35.25" hidden="1" customHeight="1" x14ac:dyDescent="0.3">
      <c r="B38" s="18" t="s">
        <v>59</v>
      </c>
      <c r="C38" s="17">
        <v>2300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>
        <f t="shared" si="0"/>
        <v>2300</v>
      </c>
    </row>
    <row r="39" spans="2:15" ht="21" hidden="1" customHeight="1" x14ac:dyDescent="0.3">
      <c r="B39" s="39" t="s">
        <v>52</v>
      </c>
      <c r="C39" s="17">
        <f>SUM(tblMarkPlan2024[Jan])</f>
        <v>67150</v>
      </c>
      <c r="D39" s="17">
        <f>SUBTOTAL(109,tblMarkPlan2024[Feb])</f>
        <v>0</v>
      </c>
      <c r="E39" s="17">
        <f>SUBTOTAL(109,tblMarkPlan2024[Mar])</f>
        <v>0</v>
      </c>
      <c r="F39" s="17">
        <f>SUBTOTAL(109,tblMarkPlan2024[Apr])</f>
        <v>0</v>
      </c>
      <c r="G39" s="17">
        <f>SUBTOTAL(109,tblMarkPlan2024[May])</f>
        <v>0</v>
      </c>
      <c r="H39" s="17">
        <f>SUBTOTAL(109,tblMarkPlan2024[Jun])</f>
        <v>0</v>
      </c>
      <c r="I39" s="17">
        <f>SUBTOTAL(109,tblMarkPlan2024[Jul])</f>
        <v>0</v>
      </c>
      <c r="J39" s="17">
        <f>SUBTOTAL(109,tblMarkPlan2024[Aug])</f>
        <v>0</v>
      </c>
      <c r="K39" s="17">
        <f>SUBTOTAL(109,tblMarkPlan2024[Sep])</f>
        <v>0</v>
      </c>
      <c r="L39" s="17">
        <f>SUBTOTAL(109,tblMarkPlan2024[Oct])</f>
        <v>0</v>
      </c>
      <c r="M39" s="17">
        <f>SUBTOTAL(109,tblMarkPlan2024[Nov])</f>
        <v>0</v>
      </c>
      <c r="N39" s="17">
        <f>SUBTOTAL(109,tblMarkPlan2024[Dec])</f>
        <v>0</v>
      </c>
      <c r="O39" s="17">
        <f>SUBTOTAL(109,tblMarkPlan2024[YEAR])</f>
        <v>0</v>
      </c>
    </row>
    <row r="40" spans="2:15" ht="15" customHeight="1" x14ac:dyDescent="0.3">
      <c r="B40" s="7"/>
      <c r="C40" s="8"/>
      <c r="D40" s="8"/>
      <c r="E40" s="9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2:15" ht="15" customHeight="1" x14ac:dyDescent="0.3">
      <c r="B41" s="7"/>
      <c r="C41" s="8"/>
      <c r="D41" s="8"/>
      <c r="E41" s="9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2:15" ht="15" customHeight="1" x14ac:dyDescent="0.3">
      <c r="B42" s="7"/>
      <c r="C42" s="8"/>
      <c r="D42" s="8"/>
      <c r="E42" s="9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2:15" ht="21" hidden="1" customHeight="1" x14ac:dyDescent="0.3">
      <c r="B43" s="20" t="s">
        <v>60</v>
      </c>
      <c r="C43" s="40"/>
      <c r="D43" s="40"/>
      <c r="E43" s="41"/>
      <c r="F43" s="40"/>
      <c r="G43" s="40"/>
      <c r="H43" s="40"/>
      <c r="I43" s="40"/>
      <c r="J43" s="40"/>
      <c r="K43" s="40"/>
      <c r="L43" s="40"/>
      <c r="M43" s="40"/>
      <c r="N43" s="40"/>
      <c r="O43" s="40"/>
    </row>
    <row r="44" spans="2:15" ht="21" hidden="1" customHeight="1" x14ac:dyDescent="0.3">
      <c r="B44" s="42" t="s">
        <v>61</v>
      </c>
      <c r="C44" s="43">
        <f>tblMarkPlan2024[[#Totals],[Jan]]</f>
        <v>67150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</row>
    <row r="45" spans="2:15" ht="21" hidden="1" customHeight="1" x14ac:dyDescent="0.3">
      <c r="B45" s="42" t="s">
        <v>62</v>
      </c>
      <c r="C45" s="43">
        <f>tblEmplPlan1423[[#Totals],[Jan]]</f>
        <v>0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</row>
    <row r="46" spans="2:15" ht="21" hidden="1" customHeight="1" x14ac:dyDescent="0.3">
      <c r="B46" s="44" t="s">
        <v>63</v>
      </c>
      <c r="C46" s="43">
        <f>C44-C45</f>
        <v>67150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</row>
    <row r="47" spans="2:15" ht="21" hidden="1" customHeight="1" x14ac:dyDescent="0.3">
      <c r="B47" s="45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</row>
    <row r="48" spans="2:15" ht="21" hidden="1" customHeight="1" x14ac:dyDescent="0.3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</row>
    <row r="49" spans="2:15" ht="21" hidden="1" customHeight="1" x14ac:dyDescent="0.3">
      <c r="B49" s="42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6"/>
    </row>
    <row r="50" spans="2:15" ht="15" hidden="1" customHeight="1" x14ac:dyDescent="0.3">
      <c r="B50" s="7"/>
      <c r="C50" s="8"/>
      <c r="D50" s="8"/>
      <c r="E50" s="9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2:15" ht="15" hidden="1" customHeight="1" x14ac:dyDescent="0.3">
      <c r="B51" s="7"/>
      <c r="C51" s="8"/>
      <c r="D51" s="8"/>
      <c r="E51" s="9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2:15" ht="15" hidden="1" customHeight="1" x14ac:dyDescent="0.3">
      <c r="B52" s="7"/>
      <c r="C52" s="8"/>
      <c r="D52" s="8"/>
      <c r="E52" s="9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2:15" ht="15" hidden="1" customHeight="1" x14ac:dyDescent="0.3">
      <c r="B53" s="7"/>
      <c r="C53" s="8"/>
      <c r="D53" s="8"/>
      <c r="E53" s="9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2:15" ht="15" hidden="1" customHeight="1" x14ac:dyDescent="0.3">
      <c r="B54" s="7"/>
      <c r="C54" s="8"/>
      <c r="D54" s="8"/>
      <c r="E54" s="9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2:15" ht="15" customHeight="1" x14ac:dyDescent="0.3">
      <c r="B55" s="7"/>
      <c r="C55" s="8"/>
      <c r="D55" s="8"/>
      <c r="E55" s="9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2:15" ht="21" customHeight="1" x14ac:dyDescent="0.3">
      <c r="B56" s="20" t="s">
        <v>27</v>
      </c>
      <c r="C56" s="47" t="s">
        <v>64</v>
      </c>
      <c r="D56" s="47" t="s">
        <v>65</v>
      </c>
      <c r="E56" s="22"/>
      <c r="F56" s="52" t="s">
        <v>73</v>
      </c>
      <c r="G56" s="52"/>
      <c r="H56" s="52"/>
      <c r="I56" s="52"/>
      <c r="J56" s="52"/>
      <c r="K56" s="21"/>
      <c r="L56" s="21"/>
      <c r="M56" s="21"/>
      <c r="N56" s="22"/>
      <c r="O56" s="21" t="s">
        <v>42</v>
      </c>
    </row>
    <row r="57" spans="2:15" s="25" customFormat="1" ht="21" customHeight="1" x14ac:dyDescent="0.3">
      <c r="B57" s="10" t="s">
        <v>6</v>
      </c>
      <c r="C57" s="23" t="s">
        <v>30</v>
      </c>
      <c r="D57" s="23" t="s">
        <v>31</v>
      </c>
      <c r="E57" s="24" t="s">
        <v>32</v>
      </c>
      <c r="F57" s="23" t="s">
        <v>33</v>
      </c>
      <c r="G57" s="23" t="s">
        <v>34</v>
      </c>
      <c r="H57" s="23" t="s">
        <v>35</v>
      </c>
      <c r="I57" s="23" t="s">
        <v>36</v>
      </c>
      <c r="J57" s="23" t="s">
        <v>37</v>
      </c>
      <c r="K57" s="23" t="s">
        <v>38</v>
      </c>
      <c r="L57" s="23" t="s">
        <v>39</v>
      </c>
      <c r="M57" s="23" t="s">
        <v>40</v>
      </c>
      <c r="N57" s="23" t="s">
        <v>41</v>
      </c>
      <c r="O57" s="23" t="s">
        <v>42</v>
      </c>
    </row>
    <row r="58" spans="2:15" s="25" customFormat="1" ht="21" customHeight="1" x14ac:dyDescent="0.3">
      <c r="B58" s="26" t="s">
        <v>43</v>
      </c>
      <c r="C58" s="27">
        <v>45000</v>
      </c>
      <c r="D58" s="23"/>
      <c r="E58" s="24"/>
      <c r="F58" s="23"/>
      <c r="G58" s="23"/>
      <c r="H58" s="23"/>
      <c r="I58" s="23"/>
      <c r="J58" s="23"/>
      <c r="K58" s="23"/>
      <c r="L58" s="23"/>
      <c r="M58" s="23"/>
      <c r="N58" s="23"/>
      <c r="O58" s="23">
        <f t="shared" ref="O58:O65" si="1">SUM(C58:N58)</f>
        <v>45000</v>
      </c>
    </row>
    <row r="59" spans="2:15" ht="21" customHeight="1" x14ac:dyDescent="0.3">
      <c r="B59" s="28" t="s">
        <v>44</v>
      </c>
      <c r="C59" s="27">
        <v>0</v>
      </c>
      <c r="D59" s="23"/>
      <c r="E59" s="24"/>
      <c r="F59" s="23"/>
      <c r="G59" s="23"/>
      <c r="H59" s="23"/>
      <c r="I59" s="23"/>
      <c r="J59" s="23"/>
      <c r="K59" s="23"/>
      <c r="L59" s="23"/>
      <c r="M59" s="23"/>
      <c r="N59" s="23"/>
      <c r="O59" s="23">
        <f t="shared" si="1"/>
        <v>0</v>
      </c>
    </row>
    <row r="60" spans="2:15" ht="31.5" customHeight="1" x14ac:dyDescent="0.3">
      <c r="B60" s="29" t="s">
        <v>75</v>
      </c>
      <c r="C60" s="27">
        <v>3500</v>
      </c>
      <c r="D60" s="23"/>
      <c r="E60" s="24"/>
      <c r="F60" s="23"/>
      <c r="G60" s="23"/>
      <c r="H60" s="23"/>
      <c r="I60" s="23"/>
      <c r="J60" s="23"/>
      <c r="K60" s="23"/>
      <c r="L60" s="23"/>
      <c r="M60" s="23"/>
      <c r="N60" s="23"/>
      <c r="O60" s="23">
        <f t="shared" si="1"/>
        <v>3500</v>
      </c>
    </row>
    <row r="61" spans="2:15" ht="33" customHeight="1" x14ac:dyDescent="0.3">
      <c r="B61" s="29" t="s">
        <v>66</v>
      </c>
      <c r="C61" s="27">
        <v>500</v>
      </c>
      <c r="D61" s="23"/>
      <c r="E61" s="24"/>
      <c r="F61" s="23"/>
      <c r="G61" s="23"/>
      <c r="H61" s="23"/>
      <c r="I61" s="23"/>
      <c r="J61" s="23"/>
      <c r="K61" s="23"/>
      <c r="L61" s="23"/>
      <c r="M61" s="23"/>
      <c r="N61" s="23"/>
      <c r="O61" s="23">
        <f t="shared" si="1"/>
        <v>500</v>
      </c>
    </row>
    <row r="62" spans="2:15" ht="21" customHeight="1" x14ac:dyDescent="0.3">
      <c r="B62" s="15" t="s">
        <v>74</v>
      </c>
      <c r="C62" s="27">
        <v>2500</v>
      </c>
      <c r="D62" s="23"/>
      <c r="E62" s="24"/>
      <c r="F62" s="23"/>
      <c r="G62" s="23"/>
      <c r="H62" s="23"/>
      <c r="I62" s="23"/>
      <c r="J62" s="23"/>
      <c r="K62" s="23"/>
      <c r="L62" s="23"/>
      <c r="M62" s="23"/>
      <c r="N62" s="23"/>
      <c r="O62" s="23">
        <f t="shared" si="1"/>
        <v>2500</v>
      </c>
    </row>
    <row r="63" spans="2:15" ht="28.5" customHeight="1" x14ac:dyDescent="0.3">
      <c r="B63" s="29" t="s">
        <v>48</v>
      </c>
      <c r="C63" s="27">
        <v>900</v>
      </c>
      <c r="D63" s="23"/>
      <c r="E63" s="24"/>
      <c r="F63" s="23"/>
      <c r="G63" s="23"/>
      <c r="H63" s="23"/>
      <c r="I63" s="23"/>
      <c r="J63" s="23"/>
      <c r="K63" s="23"/>
      <c r="L63" s="23"/>
      <c r="M63" s="23"/>
      <c r="N63" s="23"/>
      <c r="O63" s="23">
        <f t="shared" si="1"/>
        <v>900</v>
      </c>
    </row>
    <row r="64" spans="2:15" ht="33" customHeight="1" x14ac:dyDescent="0.3">
      <c r="B64" s="29" t="s">
        <v>49</v>
      </c>
      <c r="C64" s="27">
        <v>900</v>
      </c>
      <c r="D64" s="23"/>
      <c r="E64" s="24"/>
      <c r="F64" s="23"/>
      <c r="G64" s="23"/>
      <c r="H64" s="23"/>
      <c r="I64" s="23"/>
      <c r="J64" s="23"/>
      <c r="K64" s="23"/>
      <c r="L64" s="23"/>
      <c r="M64" s="23"/>
      <c r="N64" s="23"/>
      <c r="O64" s="23">
        <f t="shared" si="1"/>
        <v>900</v>
      </c>
    </row>
    <row r="65" spans="2:15" ht="21" customHeight="1" x14ac:dyDescent="0.3">
      <c r="B65" s="26" t="s">
        <v>50</v>
      </c>
      <c r="C65" s="27">
        <v>350</v>
      </c>
      <c r="D65" s="23"/>
      <c r="E65" s="24"/>
      <c r="F65" s="23"/>
      <c r="G65" s="23"/>
      <c r="H65" s="23"/>
      <c r="I65" s="23"/>
      <c r="J65" s="23"/>
      <c r="K65" s="23"/>
      <c r="L65" s="23"/>
      <c r="M65" s="23"/>
      <c r="N65" s="23"/>
      <c r="O65" s="23">
        <f t="shared" si="1"/>
        <v>350</v>
      </c>
    </row>
    <row r="66" spans="2:15" ht="21" customHeight="1" x14ac:dyDescent="0.3">
      <c r="B66" s="26" t="s">
        <v>51</v>
      </c>
      <c r="C66" s="2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</row>
    <row r="67" spans="2:15" ht="21" customHeight="1" x14ac:dyDescent="0.3">
      <c r="B67" s="1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17"/>
    </row>
    <row r="68" spans="2:15" ht="21" customHeight="1" x14ac:dyDescent="0.3">
      <c r="B68" s="36" t="s">
        <v>52</v>
      </c>
      <c r="C68" s="37">
        <f>SUBTOTAL(109,tblEmplPlan22[Jan])</f>
        <v>53650</v>
      </c>
      <c r="D68" s="37">
        <f>SUBTOTAL(109,tblEmplPlan22[Feb])</f>
        <v>0</v>
      </c>
      <c r="E68" s="37">
        <f>SUBTOTAL(109,tblEmplPlan22[Mar])</f>
        <v>0</v>
      </c>
      <c r="F68" s="37">
        <f>SUBTOTAL(109,tblEmplPlan22[Apr])</f>
        <v>0</v>
      </c>
      <c r="G68" s="37">
        <f>SUBTOTAL(109,tblEmplPlan22[May])</f>
        <v>0</v>
      </c>
      <c r="H68" s="37">
        <f>SUBTOTAL(109,tblEmplPlan22[Jun])</f>
        <v>0</v>
      </c>
      <c r="I68" s="37">
        <f>SUBTOTAL(109,tblEmplPlan22[Jul])</f>
        <v>0</v>
      </c>
      <c r="J68" s="37">
        <f>SUBTOTAL(109,tblEmplPlan22[Aug])</f>
        <v>0</v>
      </c>
      <c r="K68" s="37">
        <f>SUBTOTAL(109,tblEmplPlan22[Sep])</f>
        <v>0</v>
      </c>
      <c r="L68" s="37">
        <f>SUBTOTAL(109,tblEmplPlan22[Oct])</f>
        <v>0</v>
      </c>
      <c r="M68" s="37">
        <f>SUBTOTAL(109,tblEmplPlan22[Nov])</f>
        <v>0</v>
      </c>
      <c r="N68" s="37">
        <f>SUBTOTAL(109,tblEmplPlan22[Dec])</f>
        <v>0</v>
      </c>
      <c r="O68" s="37"/>
    </row>
    <row r="71" spans="2:15" ht="21" customHeight="1" x14ac:dyDescent="0.3">
      <c r="B71" s="10" t="s">
        <v>53</v>
      </c>
      <c r="C71" s="14" t="s">
        <v>30</v>
      </c>
      <c r="D71" s="14" t="s">
        <v>31</v>
      </c>
      <c r="E71" s="38" t="s">
        <v>32</v>
      </c>
      <c r="F71" s="14" t="s">
        <v>33</v>
      </c>
      <c r="G71" s="14" t="s">
        <v>34</v>
      </c>
      <c r="H71" s="14" t="s">
        <v>35</v>
      </c>
      <c r="I71" s="14" t="s">
        <v>36</v>
      </c>
      <c r="J71" s="14" t="s">
        <v>37</v>
      </c>
      <c r="K71" s="14" t="s">
        <v>38</v>
      </c>
      <c r="L71" s="14" t="s">
        <v>39</v>
      </c>
      <c r="M71" s="14" t="s">
        <v>40</v>
      </c>
      <c r="N71" s="14" t="s">
        <v>41</v>
      </c>
      <c r="O71" s="14" t="s">
        <v>42</v>
      </c>
    </row>
    <row r="72" spans="2:15" ht="21" customHeight="1" x14ac:dyDescent="0.3">
      <c r="B72" s="50" t="s">
        <v>83</v>
      </c>
      <c r="C72" s="17">
        <v>995</v>
      </c>
      <c r="D72" s="14"/>
      <c r="E72" s="38"/>
      <c r="F72" s="14"/>
      <c r="G72" s="14"/>
      <c r="H72" s="14"/>
      <c r="I72" s="14"/>
      <c r="J72" s="14"/>
      <c r="K72" s="14"/>
      <c r="L72" s="14"/>
      <c r="M72" s="14"/>
      <c r="N72" s="14"/>
      <c r="O72" s="14">
        <f>SUM(C72:N72)</f>
        <v>995</v>
      </c>
    </row>
    <row r="73" spans="2:15" ht="21" customHeight="1" x14ac:dyDescent="0.3">
      <c r="B73" s="15" t="s">
        <v>76</v>
      </c>
      <c r="C73" s="17">
        <v>11970</v>
      </c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>
        <f t="shared" ref="O73:O80" si="2">SUM(C73:N73)</f>
        <v>11970</v>
      </c>
    </row>
    <row r="74" spans="2:15" ht="36.75" customHeight="1" x14ac:dyDescent="0.3">
      <c r="B74" s="18" t="s">
        <v>82</v>
      </c>
      <c r="C74" s="17">
        <v>15715</v>
      </c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>
        <f t="shared" si="2"/>
        <v>15715</v>
      </c>
    </row>
    <row r="75" spans="2:15" ht="29.25" customHeight="1" x14ac:dyDescent="0.3">
      <c r="B75" s="18" t="s">
        <v>77</v>
      </c>
      <c r="C75" s="17">
        <v>8980</v>
      </c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>
        <f t="shared" si="2"/>
        <v>8980</v>
      </c>
    </row>
    <row r="76" spans="2:15" ht="33" customHeight="1" x14ac:dyDescent="0.3">
      <c r="B76" s="18" t="s">
        <v>78</v>
      </c>
      <c r="C76" s="17">
        <v>12475</v>
      </c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>
        <f t="shared" si="2"/>
        <v>12475</v>
      </c>
    </row>
    <row r="77" spans="2:15" ht="33" customHeight="1" x14ac:dyDescent="0.3">
      <c r="B77" s="18" t="s">
        <v>79</v>
      </c>
      <c r="C77" s="17">
        <v>17950</v>
      </c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>
        <f>SUM(C77:N77)</f>
        <v>17950</v>
      </c>
    </row>
    <row r="78" spans="2:15" ht="30" customHeight="1" x14ac:dyDescent="0.3">
      <c r="B78" s="18" t="s">
        <v>80</v>
      </c>
      <c r="C78" s="17">
        <v>6135</v>
      </c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>
        <f t="shared" si="2"/>
        <v>6135</v>
      </c>
    </row>
    <row r="79" spans="2:15" ht="28.5" customHeight="1" x14ac:dyDescent="0.3">
      <c r="B79" s="18" t="s">
        <v>81</v>
      </c>
      <c r="C79" s="17">
        <v>4090</v>
      </c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>
        <f>SUM(C79:N79)</f>
        <v>4090</v>
      </c>
    </row>
    <row r="80" spans="2:15" ht="35.25" customHeight="1" x14ac:dyDescent="0.3">
      <c r="B80" s="18" t="s">
        <v>84</v>
      </c>
      <c r="C80" s="17">
        <v>4590</v>
      </c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>
        <f t="shared" si="2"/>
        <v>4590</v>
      </c>
    </row>
    <row r="81" spans="2:15" ht="21" customHeight="1" x14ac:dyDescent="0.3">
      <c r="B81" s="39" t="s">
        <v>52</v>
      </c>
      <c r="C81" s="17">
        <f>SUM(tblMarkPlan202425[Jan])</f>
        <v>82900</v>
      </c>
      <c r="D81" s="17">
        <f>SUBTOTAL(109,tblMarkPlan202425[Feb])</f>
        <v>0</v>
      </c>
      <c r="E81" s="17">
        <f>SUBTOTAL(109,tblMarkPlan202425[Mar])</f>
        <v>0</v>
      </c>
      <c r="F81" s="17">
        <f>SUBTOTAL(109,tblMarkPlan202425[Apr])</f>
        <v>0</v>
      </c>
      <c r="G81" s="17">
        <f>SUBTOTAL(109,tblMarkPlan202425[May])</f>
        <v>0</v>
      </c>
      <c r="H81" s="17">
        <f>SUBTOTAL(109,tblMarkPlan202425[Jun])</f>
        <v>0</v>
      </c>
      <c r="I81" s="17">
        <f>SUBTOTAL(109,tblMarkPlan202425[Jul])</f>
        <v>0</v>
      </c>
      <c r="J81" s="17">
        <f>SUBTOTAL(109,tblMarkPlan202425[Aug])</f>
        <v>0</v>
      </c>
      <c r="K81" s="17">
        <f>SUBTOTAL(109,tblMarkPlan202425[Sep])</f>
        <v>0</v>
      </c>
      <c r="L81" s="17">
        <f>SUBTOTAL(109,tblMarkPlan202425[Oct])</f>
        <v>0</v>
      </c>
      <c r="M81" s="17">
        <f>SUBTOTAL(109,tblMarkPlan202425[Nov])</f>
        <v>0</v>
      </c>
      <c r="N81" s="17">
        <f>SUBTOTAL(109,tblMarkPlan202425[Dec])</f>
        <v>0</v>
      </c>
      <c r="O81" s="17">
        <f>SUBTOTAL(109,tblMarkPlan202425[YEAR])</f>
        <v>82900</v>
      </c>
    </row>
    <row r="82" spans="2:15" ht="15" customHeight="1" x14ac:dyDescent="0.3">
      <c r="B82" s="7"/>
      <c r="C82" s="8"/>
      <c r="D82" s="8"/>
      <c r="E82" s="9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2:15" ht="15" customHeight="1" x14ac:dyDescent="0.3">
      <c r="B83" s="7"/>
      <c r="C83" s="8"/>
      <c r="D83" s="8"/>
      <c r="E83" s="9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2:15" ht="15" customHeight="1" x14ac:dyDescent="0.3">
      <c r="B84" s="7"/>
      <c r="C84" s="8"/>
      <c r="D84" s="8"/>
      <c r="E84" s="9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2:15" ht="21" customHeight="1" x14ac:dyDescent="0.3">
      <c r="B85" s="20" t="s">
        <v>60</v>
      </c>
      <c r="C85" s="40"/>
      <c r="D85" s="40"/>
      <c r="E85" s="41"/>
      <c r="F85" s="40"/>
      <c r="G85" s="40"/>
      <c r="H85" s="40"/>
      <c r="I85" s="40"/>
      <c r="J85" s="40"/>
      <c r="K85" s="40"/>
      <c r="L85" s="40"/>
      <c r="M85" s="40"/>
      <c r="N85" s="40"/>
      <c r="O85" s="40"/>
    </row>
    <row r="86" spans="2:15" ht="21" customHeight="1" x14ac:dyDescent="0.3">
      <c r="B86" s="42" t="s">
        <v>61</v>
      </c>
      <c r="C86" s="43">
        <f>tblMarkPlan202425[[#Totals],[Jan]]</f>
        <v>82900</v>
      </c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</row>
    <row r="87" spans="2:15" ht="21" customHeight="1" x14ac:dyDescent="0.3">
      <c r="B87" s="42" t="s">
        <v>62</v>
      </c>
      <c r="C87" s="43">
        <f>tblEmplPlan22[[#Totals],[Jan]]</f>
        <v>53650</v>
      </c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</row>
    <row r="88" spans="2:15" ht="21" customHeight="1" x14ac:dyDescent="0.3">
      <c r="B88" s="44" t="s">
        <v>63</v>
      </c>
      <c r="C88" s="43">
        <f>C86-C87</f>
        <v>29250</v>
      </c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</row>
    <row r="89" spans="2:15" ht="21" customHeight="1" x14ac:dyDescent="0.3">
      <c r="B89" s="45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</row>
    <row r="90" spans="2:15" ht="21" customHeight="1" x14ac:dyDescent="0.3"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</row>
    <row r="91" spans="2:15" ht="21" customHeight="1" x14ac:dyDescent="0.3"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6"/>
    </row>
    <row r="92" spans="2:15" ht="15" customHeight="1" x14ac:dyDescent="0.3">
      <c r="B92" s="7"/>
      <c r="C92" s="8"/>
      <c r="D92" s="8"/>
      <c r="E92" s="9"/>
      <c r="F92" s="8"/>
      <c r="G92" s="8"/>
      <c r="H92" s="8"/>
      <c r="I92" s="8"/>
      <c r="J92" s="8"/>
      <c r="K92" s="8"/>
      <c r="L92" s="8"/>
      <c r="M92" s="8"/>
      <c r="N92" s="8"/>
      <c r="O92" s="8"/>
    </row>
    <row r="98" spans="2:15" ht="21" customHeight="1" x14ac:dyDescent="0.3">
      <c r="B98" s="20" t="s">
        <v>67</v>
      </c>
      <c r="C98" s="40"/>
      <c r="D98" s="40"/>
      <c r="E98" s="41"/>
      <c r="F98" s="40"/>
      <c r="G98" s="40"/>
      <c r="H98" s="40"/>
      <c r="I98" s="40"/>
      <c r="J98" s="40"/>
      <c r="K98" s="40"/>
      <c r="L98" s="40"/>
      <c r="M98" s="40"/>
      <c r="N98" s="40"/>
      <c r="O98" s="40"/>
    </row>
    <row r="99" spans="2:15" ht="29.25" customHeight="1" x14ac:dyDescent="0.3">
      <c r="B99" s="42" t="s">
        <v>68</v>
      </c>
      <c r="C99" s="48" t="s">
        <v>69</v>
      </c>
      <c r="D99" s="48" t="s">
        <v>70</v>
      </c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</row>
    <row r="100" spans="2:15" ht="31.5" customHeight="1" x14ac:dyDescent="0.3">
      <c r="B100" s="49" t="s">
        <v>71</v>
      </c>
      <c r="C100" s="43">
        <v>4200</v>
      </c>
      <c r="D100" s="43">
        <v>4500</v>
      </c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</row>
    <row r="101" spans="2:15" ht="32.25" customHeight="1" x14ac:dyDescent="0.3">
      <c r="B101" s="49" t="s">
        <v>72</v>
      </c>
      <c r="C101" s="43">
        <v>10500</v>
      </c>
      <c r="D101" s="43">
        <v>11250</v>
      </c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</row>
    <row r="102" spans="2:15" ht="21" customHeight="1" x14ac:dyDescent="0.3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6"/>
    </row>
  </sheetData>
  <mergeCells count="3">
    <mergeCell ref="D3:L3"/>
    <mergeCell ref="C17:G17"/>
    <mergeCell ref="F56:J56"/>
  </mergeCells>
  <printOptions horizontalCentered="1"/>
  <pageMargins left="0.4" right="0.4" top="0.4" bottom="0.4" header="0.3" footer="0.3"/>
  <pageSetup scale="68" fitToHeight="0" orientation="landscape" r:id="rId1"/>
  <headerFooter differentFirst="1">
    <oddFooter>Page &amp;P of &amp;N</oddFooter>
  </headerFooter>
  <drawing r:id="rId2"/>
  <legacyDrawing r:id="rId3"/>
  <tableParts count="5"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Disney Event </vt:lpstr>
    </vt:vector>
  </TitlesOfParts>
  <Company>City of Detroit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Jackson</dc:creator>
  <cp:lastModifiedBy>ELynnJac</cp:lastModifiedBy>
  <dcterms:created xsi:type="dcterms:W3CDTF">2017-02-17T14:58:31Z</dcterms:created>
  <dcterms:modified xsi:type="dcterms:W3CDTF">2018-05-17T01:11:32Z</dcterms:modified>
</cp:coreProperties>
</file>