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Chapters\SOS and COM\Sharing Our Success\2025\Northeast Florida - Future Forward - Developing a Public-Private Partnership Annual Engagement Event to Prepare L&amp;OD Practitioners for the Path Forward\"/>
    </mc:Choice>
  </mc:AlternateContent>
  <xr:revisionPtr revIDLastSave="0" documentId="8_{FAA0CA83-8892-4E7C-A51B-1116A751D1CC}" xr6:coauthVersionLast="47" xr6:coauthVersionMax="47" xr10:uidLastSave="{00000000-0000-0000-0000-000000000000}"/>
  <bookViews>
    <workbookView xWindow="-96" yWindow="-96" windowWidth="23232" windowHeight="12432" firstSheet="2" activeTab="2" xr2:uid="{00000000-000D-0000-FFFF-FFFF00000000}"/>
  </bookViews>
  <sheets>
    <sheet name="Ops Summary" sheetId="20" r:id="rId1"/>
    <sheet name="Reports" sheetId="19" r:id="rId2"/>
    <sheet name="2025 Financials by Month" sheetId="15" r:id="rId3"/>
    <sheet name="Variables" sheetId="18" r:id="rId4"/>
    <sheet name="2023 Op Plan" sheetId="14" state="hidden" r:id="rId5"/>
    <sheet name="Renewals" sheetId="17" state="hidden" r:id="rId6"/>
  </sheets>
  <definedNames>
    <definedName name="\L">#REF!</definedName>
    <definedName name="\M">#REF!</definedName>
    <definedName name="a">#REF!</definedName>
    <definedName name="asdfgcth5">#REF!</definedName>
    <definedName name="BODY">#REF!</definedName>
    <definedName name="e">#REF!</definedName>
    <definedName name="frgdthy6tryd">#REF!</definedName>
    <definedName name="myMonth">Variables!$A$2:$A$2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s">#REF!</definedName>
    <definedName name="SAPCrosstab1">#REF!</definedName>
    <definedName name="sdfgbhnjmk">#REF!</definedName>
    <definedName name="SIXMONTHS">#REF!</definedName>
    <definedName name="szxdcfghyjuddh">#REF!</definedName>
    <definedName name="w">#REF!</definedName>
    <definedName name="x">#REF!</definedName>
    <definedName name="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2" i="15" l="1"/>
  <c r="M142" i="15"/>
  <c r="O142" i="15"/>
  <c r="Q142" i="15"/>
  <c r="S142" i="15"/>
  <c r="U142" i="15"/>
  <c r="W142" i="15"/>
  <c r="Y142" i="15"/>
  <c r="C142" i="15"/>
  <c r="I137" i="15"/>
  <c r="AG10" i="15" a="1"/>
  <c r="AG10" i="15" s="1"/>
  <c r="AG13" i="15" s="1"/>
  <c r="A3" i="15" a="1"/>
  <c r="A3" i="15"/>
  <c r="A2" i="20" s="1"/>
  <c r="E19" i="19"/>
  <c r="E18" i="19"/>
  <c r="E17" i="19"/>
  <c r="E16" i="19"/>
  <c r="E15" i="19"/>
  <c r="E26" i="19"/>
  <c r="D31" i="19"/>
  <c r="D29" i="19"/>
  <c r="D27" i="19"/>
  <c r="D21" i="19"/>
  <c r="C15" i="19"/>
  <c r="C14" i="19"/>
  <c r="D5" i="19"/>
  <c r="E9" i="19"/>
  <c r="E8" i="19"/>
  <c r="E7" i="19"/>
  <c r="E6" i="19"/>
  <c r="Y131" i="15"/>
  <c r="W131" i="15"/>
  <c r="U131" i="15"/>
  <c r="S131" i="15"/>
  <c r="Q131" i="15"/>
  <c r="O131" i="15"/>
  <c r="M131" i="15"/>
  <c r="Y135" i="15"/>
  <c r="W135" i="15"/>
  <c r="U135" i="15"/>
  <c r="S135" i="15"/>
  <c r="Q135" i="15"/>
  <c r="O135" i="15"/>
  <c r="M135" i="15"/>
  <c r="AH111" i="15" a="1"/>
  <c r="AH111" i="15" s="1"/>
  <c r="AH110" i="15" a="1"/>
  <c r="AH110" i="15" s="1"/>
  <c r="AH109" i="15" a="1"/>
  <c r="AH109" i="15" s="1"/>
  <c r="AH108" i="15" a="1"/>
  <c r="AH108" i="15" s="1"/>
  <c r="AH106" i="15" a="1"/>
  <c r="AH106" i="15" s="1"/>
  <c r="AH105" i="15" a="1"/>
  <c r="AH105" i="15" s="1"/>
  <c r="AH104" i="15" a="1"/>
  <c r="AH104" i="15" s="1"/>
  <c r="AH102" i="15" a="1"/>
  <c r="AH102" i="15" s="1"/>
  <c r="AH101" i="15" a="1"/>
  <c r="AH101" i="15" s="1"/>
  <c r="AH99" i="15" a="1"/>
  <c r="AH99" i="15" s="1"/>
  <c r="AH98" i="15" a="1"/>
  <c r="AH98" i="15" s="1"/>
  <c r="AH97" i="15" a="1"/>
  <c r="AH97" i="15" s="1"/>
  <c r="AH96" i="15" a="1"/>
  <c r="AH96" i="15" s="1"/>
  <c r="AH95" i="15" a="1"/>
  <c r="AH95" i="15" s="1"/>
  <c r="AH94" i="15" a="1"/>
  <c r="AH94" i="15" s="1"/>
  <c r="AH93" i="15" a="1"/>
  <c r="AH93" i="15" s="1"/>
  <c r="AH92" i="15" a="1"/>
  <c r="AH92" i="15" s="1"/>
  <c r="AH90" i="15" a="1"/>
  <c r="AH90" i="15" s="1"/>
  <c r="AH89" i="15" a="1"/>
  <c r="AH89" i="15" s="1"/>
  <c r="AH88" i="15" a="1"/>
  <c r="AH88" i="15" s="1"/>
  <c r="AH86" i="15" a="1"/>
  <c r="AH86" i="15" s="1"/>
  <c r="AH85" i="15" a="1"/>
  <c r="AH85" i="15" s="1"/>
  <c r="AH84" i="15" a="1"/>
  <c r="AH84" i="15" s="1"/>
  <c r="AH83" i="15" a="1"/>
  <c r="AH83" i="15" s="1"/>
  <c r="AH81" i="15" a="1"/>
  <c r="AH81" i="15" s="1"/>
  <c r="AH80" i="15" a="1"/>
  <c r="AH80" i="15" s="1"/>
  <c r="AH78" i="15" a="1"/>
  <c r="AH78" i="15" s="1"/>
  <c r="AH77" i="15" a="1"/>
  <c r="AH77" i="15" s="1"/>
  <c r="AH76" i="15" a="1"/>
  <c r="AH76" i="15" s="1"/>
  <c r="AH75" i="15" a="1"/>
  <c r="AH75" i="15" s="1"/>
  <c r="AH74" i="15" a="1"/>
  <c r="AH74" i="15" s="1"/>
  <c r="AH72" i="15" a="1"/>
  <c r="AH72" i="15" s="1"/>
  <c r="AH71" i="15" a="1"/>
  <c r="AH71" i="15" s="1"/>
  <c r="AH70" i="15" a="1"/>
  <c r="AH70" i="15" s="1"/>
  <c r="AH69" i="15" a="1"/>
  <c r="AH69" i="15" s="1"/>
  <c r="AH68" i="15" a="1"/>
  <c r="AH68" i="15" s="1"/>
  <c r="AH67" i="15" a="1"/>
  <c r="AH67" i="15" s="1"/>
  <c r="AH66" i="15" a="1"/>
  <c r="AH66" i="15" s="1"/>
  <c r="AH64" i="15" a="1"/>
  <c r="AH64" i="15" s="1"/>
  <c r="AH63" i="15" a="1"/>
  <c r="AH63" i="15" s="1"/>
  <c r="AH62" i="15" a="1"/>
  <c r="AH62" i="15" s="1"/>
  <c r="AH61" i="15" a="1"/>
  <c r="AH61" i="15" s="1"/>
  <c r="AH60" i="15" a="1"/>
  <c r="AH60" i="15" s="1"/>
  <c r="AH59" i="15" a="1"/>
  <c r="AH59" i="15" s="1"/>
  <c r="AH58" i="15" a="1"/>
  <c r="AH58" i="15" s="1"/>
  <c r="AH57" i="15" a="1"/>
  <c r="AH57" i="15" s="1"/>
  <c r="AH55" i="15" a="1"/>
  <c r="AH55" i="15" s="1"/>
  <c r="AH54" i="15" a="1"/>
  <c r="AH54" i="15" s="1"/>
  <c r="AH53" i="15" a="1"/>
  <c r="AH53" i="15" s="1"/>
  <c r="AH51" i="15" a="1"/>
  <c r="AH51" i="15" s="1"/>
  <c r="AH49" i="15" a="1"/>
  <c r="AH49" i="15" s="1"/>
  <c r="AH48" i="15" a="1"/>
  <c r="AH48" i="15" s="1"/>
  <c r="AH47" i="15" a="1"/>
  <c r="AH47" i="15" s="1"/>
  <c r="AH46" i="15" a="1"/>
  <c r="AH46" i="15" s="1"/>
  <c r="AH45" i="15" a="1"/>
  <c r="AH45" i="15" s="1"/>
  <c r="AH44" i="15" a="1"/>
  <c r="AH44" i="15" s="1"/>
  <c r="AH43" i="15" a="1"/>
  <c r="AH43" i="15" s="1"/>
  <c r="AH41" i="15" a="1"/>
  <c r="AH41" i="15" s="1"/>
  <c r="AH40" i="15" a="1"/>
  <c r="AH40" i="15" s="1"/>
  <c r="AH39" i="15" a="1"/>
  <c r="AH39" i="15" s="1"/>
  <c r="AG111" i="15" a="1"/>
  <c r="AG111" i="15" s="1"/>
  <c r="AG110" i="15" a="1"/>
  <c r="AG110" i="15" s="1"/>
  <c r="AG109" i="15" a="1"/>
  <c r="AG109" i="15" s="1"/>
  <c r="AG108" i="15" a="1"/>
  <c r="AG108" i="15" s="1"/>
  <c r="AG106" i="15" a="1"/>
  <c r="AG106" i="15" s="1"/>
  <c r="AG105" i="15" a="1"/>
  <c r="AG105" i="15" s="1"/>
  <c r="AG104" i="15" a="1"/>
  <c r="AG104" i="15" s="1"/>
  <c r="AG102" i="15" a="1"/>
  <c r="AG102" i="15" s="1"/>
  <c r="AG101" i="15" a="1"/>
  <c r="AG101" i="15" s="1"/>
  <c r="AG99" i="15" a="1"/>
  <c r="AG99" i="15" s="1"/>
  <c r="AG98" i="15" a="1"/>
  <c r="AG98" i="15" s="1"/>
  <c r="AG97" i="15" a="1"/>
  <c r="AG97" i="15" s="1"/>
  <c r="AG96" i="15" a="1"/>
  <c r="AG96" i="15" s="1"/>
  <c r="AG95" i="15" a="1"/>
  <c r="AG95" i="15" s="1"/>
  <c r="AG94" i="15" a="1"/>
  <c r="AG94" i="15" s="1"/>
  <c r="AG93" i="15" a="1"/>
  <c r="AG93" i="15" s="1"/>
  <c r="AG92" i="15" a="1"/>
  <c r="AG92" i="15" s="1"/>
  <c r="AG90" i="15" a="1"/>
  <c r="AG90" i="15" s="1"/>
  <c r="AG89" i="15" a="1"/>
  <c r="AG89" i="15" s="1"/>
  <c r="AG88" i="15" a="1"/>
  <c r="AG88" i="15" s="1"/>
  <c r="AG86" i="15" a="1"/>
  <c r="AG86" i="15" s="1"/>
  <c r="AG85" i="15" a="1"/>
  <c r="AG85" i="15" s="1"/>
  <c r="AG84" i="15" a="1"/>
  <c r="AG84" i="15" s="1"/>
  <c r="AG83" i="15" a="1"/>
  <c r="AG83" i="15" s="1"/>
  <c r="AG81" i="15" a="1"/>
  <c r="AG81" i="15" s="1"/>
  <c r="AG80" i="15" a="1"/>
  <c r="AG80" i="15" s="1"/>
  <c r="AG78" i="15" a="1"/>
  <c r="AG78" i="15" s="1"/>
  <c r="AG77" i="15" a="1"/>
  <c r="AG77" i="15" s="1"/>
  <c r="AG76" i="15" a="1"/>
  <c r="AG76" i="15" s="1"/>
  <c r="AG75" i="15" a="1"/>
  <c r="AG75" i="15" s="1"/>
  <c r="AG74" i="15" a="1"/>
  <c r="AG74" i="15" s="1"/>
  <c r="AG72" i="15" a="1"/>
  <c r="AG72" i="15" s="1"/>
  <c r="AG71" i="15" a="1"/>
  <c r="AG71" i="15" s="1"/>
  <c r="AG70" i="15" a="1"/>
  <c r="AG70" i="15" s="1"/>
  <c r="AG69" i="15" a="1"/>
  <c r="AG69" i="15" s="1"/>
  <c r="AG68" i="15" a="1"/>
  <c r="AG68" i="15" s="1"/>
  <c r="AG67" i="15" a="1"/>
  <c r="AG67" i="15" s="1"/>
  <c r="AG66" i="15" a="1"/>
  <c r="AG66" i="15" s="1"/>
  <c r="AG64" i="15" a="1"/>
  <c r="AG64" i="15" s="1"/>
  <c r="AG63" i="15" a="1"/>
  <c r="AG63" i="15" s="1"/>
  <c r="AG62" i="15" a="1"/>
  <c r="AG62" i="15" s="1"/>
  <c r="AG61" i="15" a="1"/>
  <c r="AG61" i="15" s="1"/>
  <c r="AG60" i="15" a="1"/>
  <c r="AG60" i="15" s="1"/>
  <c r="AG59" i="15" a="1"/>
  <c r="AG59" i="15" s="1"/>
  <c r="AG58" i="15" a="1"/>
  <c r="AG58" i="15" s="1"/>
  <c r="AG57" i="15" a="1"/>
  <c r="AG57" i="15" s="1"/>
  <c r="AG55" i="15" a="1"/>
  <c r="AG55" i="15" s="1"/>
  <c r="AG54" i="15" a="1"/>
  <c r="AG54" i="15" s="1"/>
  <c r="AG53" i="15" a="1"/>
  <c r="AG53" i="15" s="1"/>
  <c r="AG51" i="15" a="1"/>
  <c r="AG51" i="15" s="1"/>
  <c r="AG49" i="15" a="1"/>
  <c r="AG49" i="15" s="1"/>
  <c r="AG48" i="15" a="1"/>
  <c r="AG48" i="15" s="1"/>
  <c r="AG47" i="15" a="1"/>
  <c r="AG47" i="15" s="1"/>
  <c r="AG46" i="15" a="1"/>
  <c r="AG46" i="15" s="1"/>
  <c r="AG45" i="15" a="1"/>
  <c r="AG45" i="15" s="1"/>
  <c r="AG44" i="15" a="1"/>
  <c r="AG44" i="15" s="1"/>
  <c r="AG43" i="15" a="1"/>
  <c r="AG43" i="15" s="1"/>
  <c r="AG41" i="15" a="1"/>
  <c r="AG41" i="15" s="1"/>
  <c r="AG40" i="15" a="1"/>
  <c r="AG40" i="15" s="1"/>
  <c r="AG39" i="15" a="1"/>
  <c r="AG39" i="15" s="1"/>
  <c r="AH35" i="15" a="1"/>
  <c r="AH35" i="15" s="1"/>
  <c r="AH33" i="15" a="1"/>
  <c r="AH33" i="15" s="1"/>
  <c r="AH32" i="15" a="1"/>
  <c r="AH32" i="15" s="1"/>
  <c r="AH31" i="15" a="1"/>
  <c r="AH31" i="15" s="1"/>
  <c r="AH30" i="15" a="1"/>
  <c r="AH30" i="15" s="1"/>
  <c r="AH29" i="15" a="1"/>
  <c r="AH29" i="15" s="1"/>
  <c r="AH28" i="15" a="1"/>
  <c r="AH28" i="15" s="1"/>
  <c r="AH34" i="15" s="1"/>
  <c r="AG35" i="15" a="1"/>
  <c r="AG35" i="15" s="1"/>
  <c r="AG33" i="15" a="1"/>
  <c r="AG33" i="15" s="1"/>
  <c r="AG32" i="15" a="1"/>
  <c r="AG32" i="15" s="1"/>
  <c r="AG31" i="15" a="1"/>
  <c r="AG31" i="15" s="1"/>
  <c r="AG30" i="15" a="1"/>
  <c r="AG30" i="15" s="1"/>
  <c r="AG29" i="15" a="1"/>
  <c r="AG29" i="15" s="1"/>
  <c r="AG28" i="15" a="1"/>
  <c r="AG28" i="15" s="1"/>
  <c r="AH26" i="15" a="1"/>
  <c r="AH26" i="15" s="1"/>
  <c r="AH25" i="15" a="1"/>
  <c r="AH25" i="15" s="1"/>
  <c r="AH24" i="15" a="1"/>
  <c r="AH24" i="15" s="1"/>
  <c r="AH23" i="15" a="1"/>
  <c r="AH23" i="15" s="1"/>
  <c r="AH22" i="15" a="1"/>
  <c r="AH22" i="15" s="1"/>
  <c r="AH21" i="15" a="1"/>
  <c r="AH21" i="15" s="1"/>
  <c r="AG26" i="15" a="1"/>
  <c r="AG26" i="15" s="1"/>
  <c r="AG25" i="15" a="1"/>
  <c r="AG25" i="15" s="1"/>
  <c r="AG24" i="15" a="1"/>
  <c r="AG24" i="15" s="1"/>
  <c r="AG27" i="15" s="1"/>
  <c r="AG23" i="15" a="1"/>
  <c r="AG23" i="15" s="1"/>
  <c r="AG22" i="15" a="1"/>
  <c r="AG22" i="15" s="1"/>
  <c r="AG21" i="15" a="1"/>
  <c r="AG21" i="15" s="1"/>
  <c r="AH19" i="15" a="1"/>
  <c r="AH19" i="15" s="1"/>
  <c r="AH18" i="15" a="1"/>
  <c r="AH18" i="15" s="1"/>
  <c r="AH17" i="15" a="1"/>
  <c r="AH17" i="15" s="1"/>
  <c r="AH16" i="15" a="1"/>
  <c r="AH16" i="15" s="1"/>
  <c r="AH15" i="15" a="1"/>
  <c r="AH15" i="15" s="1"/>
  <c r="AH14" i="15" a="1"/>
  <c r="AH14" i="15" s="1"/>
  <c r="AG19" i="15" a="1"/>
  <c r="AG19" i="15" s="1"/>
  <c r="AG18" i="15" a="1"/>
  <c r="AG18" i="15" s="1"/>
  <c r="AG17" i="15" a="1"/>
  <c r="AG17" i="15" s="1"/>
  <c r="AG16" i="15" a="1"/>
  <c r="AG16" i="15" s="1"/>
  <c r="AG20" i="15" s="1"/>
  <c r="AG15" i="15" a="1"/>
  <c r="AG15" i="15" s="1"/>
  <c r="AG14" i="15" a="1"/>
  <c r="AG14" i="15" s="1"/>
  <c r="AH12" i="15" a="1"/>
  <c r="AH12" i="15" s="1"/>
  <c r="AH11" i="15" a="1"/>
  <c r="AH11" i="15" s="1"/>
  <c r="AH10" i="15" a="1"/>
  <c r="AH10" i="15" s="1"/>
  <c r="AG12" i="15" a="1"/>
  <c r="AG12" i="15" s="1"/>
  <c r="AG11" i="15" a="1"/>
  <c r="AG11" i="15" s="1"/>
  <c r="AG9" i="15" a="1"/>
  <c r="AG9" i="15" s="1"/>
  <c r="AH9" i="15" a="1"/>
  <c r="AH9" i="15" s="1"/>
  <c r="AF116" i="15"/>
  <c r="AG38" i="15"/>
  <c r="AG37" i="15"/>
  <c r="AG34" i="15"/>
  <c r="C11" i="19"/>
  <c r="C5" i="19"/>
  <c r="C12" i="19" s="1"/>
  <c r="B5" i="19"/>
  <c r="C24" i="19"/>
  <c r="E24" i="19" s="1"/>
  <c r="C23" i="19"/>
  <c r="B23" i="19"/>
  <c r="C25" i="19"/>
  <c r="E25" i="19" s="1"/>
  <c r="B15" i="19"/>
  <c r="Y137" i="15"/>
  <c r="W137" i="15"/>
  <c r="U137" i="15"/>
  <c r="S137" i="15"/>
  <c r="Q137" i="15"/>
  <c r="O137" i="15"/>
  <c r="M137" i="15"/>
  <c r="K137" i="15"/>
  <c r="G137" i="15"/>
  <c r="V50" i="15"/>
  <c r="AD15" i="15"/>
  <c r="AC111" i="15" a="1"/>
  <c r="AC111" i="15" s="1"/>
  <c r="AC110" i="15" a="1"/>
  <c r="AC110" i="15" s="1"/>
  <c r="AC109" i="15" a="1"/>
  <c r="AC109" i="15" s="1"/>
  <c r="AC108" i="15" a="1"/>
  <c r="AC108" i="15" s="1"/>
  <c r="AC106" i="15" a="1"/>
  <c r="AC106" i="15" s="1"/>
  <c r="AC105" i="15" a="1"/>
  <c r="AC105" i="15" s="1"/>
  <c r="AE105" i="15" s="1"/>
  <c r="AC104" i="15" a="1"/>
  <c r="AC104" i="15" s="1"/>
  <c r="AC101" i="15" a="1"/>
  <c r="AC101" i="15" s="1"/>
  <c r="AC102" i="15" a="1"/>
  <c r="AC102" i="15" s="1"/>
  <c r="AC99" i="15" a="1"/>
  <c r="AC99" i="15" s="1"/>
  <c r="AC98" i="15" a="1"/>
  <c r="AC98" i="15" s="1"/>
  <c r="AC97" i="15" a="1"/>
  <c r="AC97" i="15" s="1"/>
  <c r="AC96" i="15" a="1"/>
  <c r="AC96" i="15" s="1"/>
  <c r="AC95" i="15" a="1"/>
  <c r="AC95" i="15" s="1"/>
  <c r="AE95" i="15" s="1"/>
  <c r="AC94" i="15" a="1"/>
  <c r="AC94" i="15" s="1"/>
  <c r="AC93" i="15" a="1"/>
  <c r="AC93" i="15" s="1"/>
  <c r="AC92" i="15" a="1"/>
  <c r="AC92" i="15" s="1"/>
  <c r="AC90" i="15" a="1"/>
  <c r="AC90" i="15" s="1"/>
  <c r="AC89" i="15" a="1"/>
  <c r="AC89" i="15" s="1"/>
  <c r="AC88" i="15" a="1"/>
  <c r="AC88" i="15" s="1"/>
  <c r="AC86" i="15" a="1"/>
  <c r="AC86" i="15" s="1"/>
  <c r="AC85" i="15" a="1"/>
  <c r="AC85" i="15" s="1"/>
  <c r="AE85" i="15" s="1"/>
  <c r="AC84" i="15" a="1"/>
  <c r="AC84" i="15" s="1"/>
  <c r="AC83" i="15" a="1"/>
  <c r="AC83" i="15" s="1"/>
  <c r="AC81" i="15" a="1"/>
  <c r="AC81" i="15" s="1"/>
  <c r="AC80" i="15" a="1"/>
  <c r="AC80" i="15" s="1"/>
  <c r="AC82" i="15" s="1"/>
  <c r="AC78" i="15" a="1"/>
  <c r="AC78" i="15" s="1"/>
  <c r="AC77" i="15" a="1"/>
  <c r="AC77" i="15" s="1"/>
  <c r="AC76" i="15" a="1"/>
  <c r="AC76" i="15" s="1"/>
  <c r="AC75" i="15" a="1"/>
  <c r="AC75" i="15" s="1"/>
  <c r="AE75" i="15" s="1"/>
  <c r="AC74" i="15" a="1"/>
  <c r="AC74" i="15" s="1"/>
  <c r="AC72" i="15" a="1"/>
  <c r="AC72" i="15" s="1"/>
  <c r="AC71" i="15" a="1"/>
  <c r="AC71" i="15" s="1"/>
  <c r="AC70" i="15" a="1"/>
  <c r="AC70" i="15" s="1"/>
  <c r="AC69" i="15" a="1"/>
  <c r="AC69" i="15" s="1"/>
  <c r="AC68" i="15" a="1"/>
  <c r="AC68" i="15" s="1"/>
  <c r="AC67" i="15" a="1"/>
  <c r="AC67" i="15" s="1"/>
  <c r="AC66" i="15" a="1"/>
  <c r="AC66" i="15" s="1"/>
  <c r="AC73" i="15" s="1"/>
  <c r="D14" i="20" s="1"/>
  <c r="AC64" i="15" a="1"/>
  <c r="AC64" i="15" s="1"/>
  <c r="AC63" i="15" a="1"/>
  <c r="AC63" i="15" s="1"/>
  <c r="AC62" i="15" a="1"/>
  <c r="AC62" i="15" s="1"/>
  <c r="AC61" i="15" a="1"/>
  <c r="AC61" i="15" s="1"/>
  <c r="AC60" i="15" a="1"/>
  <c r="AC60" i="15" s="1"/>
  <c r="AC59" i="15" a="1"/>
  <c r="AC59" i="15" s="1"/>
  <c r="AC58" i="15" a="1"/>
  <c r="AC58" i="15" s="1"/>
  <c r="AC57" i="15" a="1"/>
  <c r="AC57" i="15" s="1"/>
  <c r="AC65" i="15" s="1"/>
  <c r="D13" i="20" s="1"/>
  <c r="AC55" i="15" a="1"/>
  <c r="AC55" i="15" s="1"/>
  <c r="AC54" i="15" a="1"/>
  <c r="AC54" i="15" s="1"/>
  <c r="AC53" i="15" a="1"/>
  <c r="AC53" i="15" s="1"/>
  <c r="AC56" i="15" s="1"/>
  <c r="AC51" i="15" a="1"/>
  <c r="AC51" i="15" s="1"/>
  <c r="AC49" i="15" a="1"/>
  <c r="AC49" i="15" s="1"/>
  <c r="AC48" i="15" a="1"/>
  <c r="AC48" i="15" s="1"/>
  <c r="AC47" i="15" a="1"/>
  <c r="AC47" i="15" s="1"/>
  <c r="AC46" i="15" a="1"/>
  <c r="AC46" i="15" s="1"/>
  <c r="AE46" i="15" s="1"/>
  <c r="AC45" i="15" a="1"/>
  <c r="AC45" i="15" s="1"/>
  <c r="AC44" i="15" a="1"/>
  <c r="AC44" i="15" s="1"/>
  <c r="AC43" i="15" a="1"/>
  <c r="AC43" i="15" s="1"/>
  <c r="AC41" i="15" a="1"/>
  <c r="AC41" i="15" s="1"/>
  <c r="AC40" i="15" a="1"/>
  <c r="AC40" i="15" s="1"/>
  <c r="AC39" i="15" a="1"/>
  <c r="AC39" i="15" s="1"/>
  <c r="AB116" i="15"/>
  <c r="E137" i="15"/>
  <c r="C137" i="15"/>
  <c r="AD101" i="15"/>
  <c r="AD102" i="15"/>
  <c r="AA101" i="15"/>
  <c r="AA102" i="15"/>
  <c r="Z101" i="15"/>
  <c r="Z102" i="15"/>
  <c r="C138" i="15"/>
  <c r="E135" i="15" s="1"/>
  <c r="E138" i="15" s="1"/>
  <c r="B138" i="15"/>
  <c r="Y128" i="15"/>
  <c r="W128" i="15"/>
  <c r="U128" i="15"/>
  <c r="S128" i="15"/>
  <c r="Q128" i="15"/>
  <c r="O128" i="15"/>
  <c r="M128" i="15"/>
  <c r="K128" i="15"/>
  <c r="I128" i="15"/>
  <c r="G128" i="15"/>
  <c r="E128" i="15"/>
  <c r="C128" i="15"/>
  <c r="A125" i="15" a="1"/>
  <c r="A125" i="15" s="1"/>
  <c r="B119" i="15" a="1"/>
  <c r="B119" i="15"/>
  <c r="B120" i="15" a="1"/>
  <c r="B120" i="15" s="1"/>
  <c r="AC35" i="15" a="1"/>
  <c r="AC35" i="15" s="1"/>
  <c r="AC33" i="15" a="1"/>
  <c r="AC33" i="15" s="1"/>
  <c r="AC32" i="15" a="1"/>
  <c r="AC32" i="15" s="1"/>
  <c r="AC31" i="15" a="1"/>
  <c r="AC31" i="15" s="1"/>
  <c r="D7" i="20" s="1"/>
  <c r="AC30" i="15" a="1"/>
  <c r="AC30" i="15" s="1"/>
  <c r="AC29" i="15" a="1"/>
  <c r="AC29" i="15" s="1"/>
  <c r="AC28" i="15" a="1"/>
  <c r="AC28" i="15" s="1"/>
  <c r="AC26" i="15" a="1"/>
  <c r="AC26" i="15" s="1"/>
  <c r="AC25" i="15" a="1"/>
  <c r="AC25" i="15" s="1"/>
  <c r="AC24" i="15" a="1"/>
  <c r="AC24" i="15" s="1"/>
  <c r="AC23" i="15" a="1"/>
  <c r="AC23" i="15" s="1"/>
  <c r="AC22" i="15" a="1"/>
  <c r="AC22" i="15" s="1"/>
  <c r="AC21" i="15" a="1"/>
  <c r="AC21" i="15" s="1"/>
  <c r="AC19" i="15" a="1"/>
  <c r="AC19" i="15" s="1"/>
  <c r="AC18" i="15" a="1"/>
  <c r="AC18" i="15" s="1"/>
  <c r="AC17" i="15" a="1"/>
  <c r="AC17" i="15" s="1"/>
  <c r="AC16" i="15" a="1"/>
  <c r="AC16" i="15" s="1"/>
  <c r="AC15" i="15" a="1"/>
  <c r="AC15" i="15" s="1"/>
  <c r="AC14" i="15" a="1"/>
  <c r="AC14" i="15" s="1"/>
  <c r="AC12" i="15" a="1"/>
  <c r="AC12" i="15" s="1"/>
  <c r="AC11" i="15" a="1"/>
  <c r="AC11" i="15" s="1"/>
  <c r="AC10" i="15" a="1"/>
  <c r="AC10" i="15" s="1"/>
  <c r="D8" i="20" s="1"/>
  <c r="AC9" i="15" a="1"/>
  <c r="AC9" i="15" s="1"/>
  <c r="Z111" i="15"/>
  <c r="Z110" i="15"/>
  <c r="Z109" i="15"/>
  <c r="Z108" i="15"/>
  <c r="AH112" i="15" s="1"/>
  <c r="Z106" i="15"/>
  <c r="Z105" i="15"/>
  <c r="Z104" i="15"/>
  <c r="AH107" i="15" s="1"/>
  <c r="Z99" i="15"/>
  <c r="Z98" i="15"/>
  <c r="Z97" i="15"/>
  <c r="Z96" i="15"/>
  <c r="Z95" i="15"/>
  <c r="Z94" i="15"/>
  <c r="Z93" i="15"/>
  <c r="Z92" i="15"/>
  <c r="AH100" i="15" s="1"/>
  <c r="AH103" i="15" s="1"/>
  <c r="Z90" i="15"/>
  <c r="Z89" i="15"/>
  <c r="Z88" i="15"/>
  <c r="AH91" i="15" s="1"/>
  <c r="Z86" i="15"/>
  <c r="Z85" i="15"/>
  <c r="Z84" i="15"/>
  <c r="Z83" i="15"/>
  <c r="Z81" i="15"/>
  <c r="Z80" i="15"/>
  <c r="AH82" i="15" s="1"/>
  <c r="Z78" i="15"/>
  <c r="Z77" i="15"/>
  <c r="Z76" i="15"/>
  <c r="Z75" i="15"/>
  <c r="Z74" i="15"/>
  <c r="AH79" i="15" s="1"/>
  <c r="AH87" i="15" s="1"/>
  <c r="Z72" i="15"/>
  <c r="Z71" i="15"/>
  <c r="Z70" i="15"/>
  <c r="Z69" i="15"/>
  <c r="Z68" i="15"/>
  <c r="Z67" i="15"/>
  <c r="Z66" i="15"/>
  <c r="AH73" i="15" s="1"/>
  <c r="Z64" i="15"/>
  <c r="Z63" i="15"/>
  <c r="Z62" i="15"/>
  <c r="Z61" i="15"/>
  <c r="Z60" i="15"/>
  <c r="Z59" i="15"/>
  <c r="Z58" i="15"/>
  <c r="Z57" i="15"/>
  <c r="AH65" i="15" s="1"/>
  <c r="Z55" i="15"/>
  <c r="Z54" i="15"/>
  <c r="Z53" i="15"/>
  <c r="AH56" i="15" s="1"/>
  <c r="Z51" i="15"/>
  <c r="Z49" i="15"/>
  <c r="Z48" i="15"/>
  <c r="Z47" i="15"/>
  <c r="Z46" i="15"/>
  <c r="Z45" i="15"/>
  <c r="Z44" i="15"/>
  <c r="Z43" i="15"/>
  <c r="AH50" i="15" s="1"/>
  <c r="Z41" i="15"/>
  <c r="Z40" i="15"/>
  <c r="Z39" i="15"/>
  <c r="AH42" i="15" s="1"/>
  <c r="Z38" i="15"/>
  <c r="AH38" i="15" s="1"/>
  <c r="Z37" i="15"/>
  <c r="Z35" i="15"/>
  <c r="AI35" i="15" s="1"/>
  <c r="Z33" i="15"/>
  <c r="AI33" i="15" s="1"/>
  <c r="Z32" i="15"/>
  <c r="AI32" i="15" s="1"/>
  <c r="Z31" i="15"/>
  <c r="Z29" i="15"/>
  <c r="AI29" i="15" s="1"/>
  <c r="Z28" i="15"/>
  <c r="AI28" i="15" s="1"/>
  <c r="Z26" i="15"/>
  <c r="AI26" i="15" s="1"/>
  <c r="Z25" i="15"/>
  <c r="AI25" i="15" s="1"/>
  <c r="Z24" i="15"/>
  <c r="AI24" i="15" s="1"/>
  <c r="Z23" i="15"/>
  <c r="AI23" i="15" s="1"/>
  <c r="Z22" i="15"/>
  <c r="AI22" i="15" s="1"/>
  <c r="Z21" i="15"/>
  <c r="AI21" i="15" s="1"/>
  <c r="Z19" i="15"/>
  <c r="AI19" i="15" s="1"/>
  <c r="Z18" i="15"/>
  <c r="AI18" i="15" s="1"/>
  <c r="Z17" i="15"/>
  <c r="AI17" i="15" s="1"/>
  <c r="Z16" i="15"/>
  <c r="AI16" i="15" s="1"/>
  <c r="Z15" i="15"/>
  <c r="AI15" i="15" s="1"/>
  <c r="Z14" i="15"/>
  <c r="AI14" i="15" s="1"/>
  <c r="Z12" i="15"/>
  <c r="AI12" i="15" s="1"/>
  <c r="Z11" i="15"/>
  <c r="AI11" i="15" s="1"/>
  <c r="Z10" i="15"/>
  <c r="Z9" i="15"/>
  <c r="AI9" i="15" s="1"/>
  <c r="Z8" i="15"/>
  <c r="AC38" i="15"/>
  <c r="AC37" i="15"/>
  <c r="B118" i="15" a="1"/>
  <c r="B118" i="15"/>
  <c r="B117" i="15" a="1"/>
  <c r="B117" i="15"/>
  <c r="AD111" i="15"/>
  <c r="AD110" i="15"/>
  <c r="AD109" i="15"/>
  <c r="AD108" i="15"/>
  <c r="AD112" i="15" s="1"/>
  <c r="AD106" i="15"/>
  <c r="AD105" i="15"/>
  <c r="AD104" i="15"/>
  <c r="AD107" i="15" s="1"/>
  <c r="AD99" i="15"/>
  <c r="AD98" i="15"/>
  <c r="AD97" i="15"/>
  <c r="AD96" i="15"/>
  <c r="AD95" i="15"/>
  <c r="AD94" i="15"/>
  <c r="AD93" i="15"/>
  <c r="AD92" i="15"/>
  <c r="AD90" i="15"/>
  <c r="AD89" i="15"/>
  <c r="AD88" i="15"/>
  <c r="AD86" i="15"/>
  <c r="AD85" i="15"/>
  <c r="AD84" i="15"/>
  <c r="AD83" i="15"/>
  <c r="AD81" i="15"/>
  <c r="AD80" i="15"/>
  <c r="AD82" i="15" s="1"/>
  <c r="AD78" i="15"/>
  <c r="AD77" i="15"/>
  <c r="AD76" i="15"/>
  <c r="AD75" i="15"/>
  <c r="AD74" i="15"/>
  <c r="AD79" i="15" s="1"/>
  <c r="AD72" i="15"/>
  <c r="AD71" i="15"/>
  <c r="AD70" i="15"/>
  <c r="AD69" i="15"/>
  <c r="AD68" i="15"/>
  <c r="AD67" i="15"/>
  <c r="AD66" i="15"/>
  <c r="AD73" i="15" s="1"/>
  <c r="E14" i="20" s="1"/>
  <c r="AD64" i="15"/>
  <c r="AD63" i="15"/>
  <c r="AD62" i="15"/>
  <c r="AD61" i="15"/>
  <c r="AD60" i="15"/>
  <c r="AD59" i="15"/>
  <c r="AD58" i="15"/>
  <c r="AD57" i="15"/>
  <c r="AD55" i="15"/>
  <c r="AD54" i="15"/>
  <c r="AD53" i="15"/>
  <c r="AD56" i="15" s="1"/>
  <c r="AD51" i="15"/>
  <c r="AD49" i="15"/>
  <c r="AD48" i="15"/>
  <c r="AD47" i="15"/>
  <c r="AD46" i="15"/>
  <c r="AD45" i="15"/>
  <c r="AD44" i="15"/>
  <c r="AD43" i="15"/>
  <c r="AD50" i="15" s="1"/>
  <c r="AD41" i="15"/>
  <c r="AD40" i="15"/>
  <c r="AD39" i="15"/>
  <c r="AD42" i="15" s="1"/>
  <c r="AD52" i="15" s="1"/>
  <c r="E12" i="20" s="1"/>
  <c r="AD38" i="15"/>
  <c r="AD35" i="15"/>
  <c r="AD33" i="15"/>
  <c r="AD32" i="15"/>
  <c r="AD31" i="15"/>
  <c r="E7" i="20" s="1"/>
  <c r="AD30" i="15"/>
  <c r="AD29" i="15"/>
  <c r="AD28" i="15"/>
  <c r="AD26" i="15"/>
  <c r="AD25" i="15"/>
  <c r="AD24" i="15"/>
  <c r="AD23" i="15"/>
  <c r="AD22" i="15"/>
  <c r="AD21" i="15"/>
  <c r="AD19" i="15"/>
  <c r="AD18" i="15"/>
  <c r="AD17" i="15"/>
  <c r="AD16" i="15"/>
  <c r="AD14" i="15"/>
  <c r="AD12" i="15"/>
  <c r="AD11" i="15"/>
  <c r="AD10" i="15"/>
  <c r="E8" i="20" s="1"/>
  <c r="AD9" i="15"/>
  <c r="AD8" i="15"/>
  <c r="AE108" i="15"/>
  <c r="AE99" i="15"/>
  <c r="AE98" i="15"/>
  <c r="AE93" i="15"/>
  <c r="AE83" i="15"/>
  <c r="AE77" i="15"/>
  <c r="AE76" i="15"/>
  <c r="AE74" i="15"/>
  <c r="AE68" i="15"/>
  <c r="AE67" i="15"/>
  <c r="AE54" i="15"/>
  <c r="AE45" i="15"/>
  <c r="AE44" i="15"/>
  <c r="AE25" i="15"/>
  <c r="AE23" i="15"/>
  <c r="AE81" i="15"/>
  <c r="AE80" i="15"/>
  <c r="AE71" i="15"/>
  <c r="AE49" i="15"/>
  <c r="AE48" i="15"/>
  <c r="AE47" i="15"/>
  <c r="AE41" i="15"/>
  <c r="AE39" i="15"/>
  <c r="AE38" i="15"/>
  <c r="AE30" i="15"/>
  <c r="AE22" i="15"/>
  <c r="AE111" i="15"/>
  <c r="AE110" i="15"/>
  <c r="AE109" i="15"/>
  <c r="AE106" i="15"/>
  <c r="AE104" i="15"/>
  <c r="AE97" i="15"/>
  <c r="AE96" i="15"/>
  <c r="AE94" i="15"/>
  <c r="AE89" i="15"/>
  <c r="AE88" i="15"/>
  <c r="AE86" i="15"/>
  <c r="AE84" i="15"/>
  <c r="AE78" i="15"/>
  <c r="AE72" i="15"/>
  <c r="AE69" i="15"/>
  <c r="AE64" i="15"/>
  <c r="AE63" i="15"/>
  <c r="AE60" i="15"/>
  <c r="AE59" i="15"/>
  <c r="AE58" i="15"/>
  <c r="AE57" i="15"/>
  <c r="AE55" i="15"/>
  <c r="AE35" i="15"/>
  <c r="AE32" i="15"/>
  <c r="AE24" i="15"/>
  <c r="AE16" i="15"/>
  <c r="AE15" i="15"/>
  <c r="AE14" i="15"/>
  <c r="AA111" i="15"/>
  <c r="AA110" i="15"/>
  <c r="AA109" i="15"/>
  <c r="AA108" i="15"/>
  <c r="AA106" i="15"/>
  <c r="AA105" i="15"/>
  <c r="AA104" i="15"/>
  <c r="AA99" i="15"/>
  <c r="AA98" i="15"/>
  <c r="AA97" i="15"/>
  <c r="AA96" i="15"/>
  <c r="AA95" i="15"/>
  <c r="AA94" i="15"/>
  <c r="AA93" i="15"/>
  <c r="AA92" i="15"/>
  <c r="AA90" i="15"/>
  <c r="AA89" i="15"/>
  <c r="AA88" i="15"/>
  <c r="AA86" i="15"/>
  <c r="AA85" i="15"/>
  <c r="AA84" i="15"/>
  <c r="AA83" i="15"/>
  <c r="AA81" i="15"/>
  <c r="AA80" i="15"/>
  <c r="AA78" i="15"/>
  <c r="AA77" i="15"/>
  <c r="AA76" i="15"/>
  <c r="AA75" i="15"/>
  <c r="AA74" i="15"/>
  <c r="AA72" i="15"/>
  <c r="AA71" i="15"/>
  <c r="AA70" i="15"/>
  <c r="AA69" i="15"/>
  <c r="AA68" i="15"/>
  <c r="AA67" i="15"/>
  <c r="AA66" i="15"/>
  <c r="AA64" i="15"/>
  <c r="AA63" i="15"/>
  <c r="AA62" i="15"/>
  <c r="AA61" i="15"/>
  <c r="AA60" i="15"/>
  <c r="AA59" i="15"/>
  <c r="AA58" i="15"/>
  <c r="AA57" i="15"/>
  <c r="AA55" i="15"/>
  <c r="AA54" i="15"/>
  <c r="AA53" i="15"/>
  <c r="AA51" i="15"/>
  <c r="AA49" i="15"/>
  <c r="AA48" i="15"/>
  <c r="AA47" i="15"/>
  <c r="AA46" i="15"/>
  <c r="AA45" i="15"/>
  <c r="AA44" i="15"/>
  <c r="AA43" i="15"/>
  <c r="AA41" i="15"/>
  <c r="AA40" i="15"/>
  <c r="AA39" i="15"/>
  <c r="AA38" i="15"/>
  <c r="AA35" i="15"/>
  <c r="AA33" i="15"/>
  <c r="AA32" i="15"/>
  <c r="AA31" i="15"/>
  <c r="AA30" i="15"/>
  <c r="AA29" i="15"/>
  <c r="AA28" i="15"/>
  <c r="AA26" i="15"/>
  <c r="AA25" i="15"/>
  <c r="AA24" i="15"/>
  <c r="AA23" i="15"/>
  <c r="AA22" i="15"/>
  <c r="AA21" i="15"/>
  <c r="AA19" i="15"/>
  <c r="AA18" i="15"/>
  <c r="AA17" i="15"/>
  <c r="AA16" i="15"/>
  <c r="AA15" i="15"/>
  <c r="AA14" i="15"/>
  <c r="AA12" i="15"/>
  <c r="AA11" i="15"/>
  <c r="AA10" i="15"/>
  <c r="AA9" i="15"/>
  <c r="AA8" i="15"/>
  <c r="AC8" i="15" s="1"/>
  <c r="Y112" i="15"/>
  <c r="X112" i="15"/>
  <c r="W112" i="15"/>
  <c r="V112" i="15"/>
  <c r="U112" i="15"/>
  <c r="T112" i="15"/>
  <c r="S112" i="15"/>
  <c r="R112" i="15"/>
  <c r="Q112" i="15"/>
  <c r="P112" i="15"/>
  <c r="O112" i="15"/>
  <c r="N112" i="15"/>
  <c r="M112" i="15"/>
  <c r="L112" i="15"/>
  <c r="K112" i="15"/>
  <c r="J112" i="15"/>
  <c r="I112" i="15"/>
  <c r="H112" i="15"/>
  <c r="G112" i="15"/>
  <c r="F112" i="15"/>
  <c r="E112" i="15"/>
  <c r="D112" i="15"/>
  <c r="C112" i="15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C107" i="15"/>
  <c r="Y100" i="15"/>
  <c r="Y103" i="15" s="1"/>
  <c r="X100" i="15"/>
  <c r="X103" i="15" s="1"/>
  <c r="W100" i="15"/>
  <c r="W103" i="15" s="1"/>
  <c r="V100" i="15"/>
  <c r="V103" i="15" s="1"/>
  <c r="U100" i="15"/>
  <c r="U103" i="15" s="1"/>
  <c r="T100" i="15"/>
  <c r="T103" i="15" s="1"/>
  <c r="S100" i="15"/>
  <c r="S103" i="15" s="1"/>
  <c r="R100" i="15"/>
  <c r="R103" i="15" s="1"/>
  <c r="Q100" i="15"/>
  <c r="Q103" i="15" s="1"/>
  <c r="P100" i="15"/>
  <c r="P103" i="15" s="1"/>
  <c r="O100" i="15"/>
  <c r="O103" i="15" s="1"/>
  <c r="N100" i="15"/>
  <c r="N103" i="15" s="1"/>
  <c r="M100" i="15"/>
  <c r="M103" i="15" s="1"/>
  <c r="L100" i="15"/>
  <c r="L103" i="15" s="1"/>
  <c r="K100" i="15"/>
  <c r="K103" i="15" s="1"/>
  <c r="J100" i="15"/>
  <c r="J103" i="15" s="1"/>
  <c r="I100" i="15"/>
  <c r="I103" i="15" s="1"/>
  <c r="H100" i="15"/>
  <c r="H103" i="15" s="1"/>
  <c r="G100" i="15"/>
  <c r="G103" i="15" s="1"/>
  <c r="F100" i="15"/>
  <c r="F103" i="15" s="1"/>
  <c r="E100" i="15"/>
  <c r="E103" i="15" s="1"/>
  <c r="D100" i="15"/>
  <c r="D103" i="15" s="1"/>
  <c r="C100" i="15"/>
  <c r="C103" i="15" s="1"/>
  <c r="Y91" i="15"/>
  <c r="X91" i="15"/>
  <c r="W91" i="15"/>
  <c r="V91" i="15"/>
  <c r="U91" i="15"/>
  <c r="T91" i="15"/>
  <c r="S91" i="15"/>
  <c r="R91" i="15"/>
  <c r="Q91" i="15"/>
  <c r="P91" i="15"/>
  <c r="O91" i="15"/>
  <c r="N91" i="15"/>
  <c r="M91" i="15"/>
  <c r="L91" i="15"/>
  <c r="K91" i="15"/>
  <c r="J91" i="15"/>
  <c r="I91" i="15"/>
  <c r="H91" i="15"/>
  <c r="G91" i="15"/>
  <c r="F91" i="15"/>
  <c r="E91" i="15"/>
  <c r="D91" i="15"/>
  <c r="C91" i="15"/>
  <c r="Y82" i="15"/>
  <c r="X82" i="15"/>
  <c r="W82" i="15"/>
  <c r="V82" i="15"/>
  <c r="U82" i="15"/>
  <c r="T82" i="15"/>
  <c r="S82" i="15"/>
  <c r="R82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C82" i="15"/>
  <c r="Y79" i="15"/>
  <c r="X79" i="15"/>
  <c r="W79" i="15"/>
  <c r="V79" i="15"/>
  <c r="U79" i="15"/>
  <c r="T79" i="15"/>
  <c r="S79" i="15"/>
  <c r="R79" i="15"/>
  <c r="R87" i="15" s="1"/>
  <c r="Q79" i="15"/>
  <c r="P79" i="15"/>
  <c r="O79" i="15"/>
  <c r="N79" i="15"/>
  <c r="M79" i="15"/>
  <c r="L79" i="15"/>
  <c r="K79" i="15"/>
  <c r="J79" i="15"/>
  <c r="J87" i="15" s="1"/>
  <c r="I79" i="15"/>
  <c r="I87" i="15" s="1"/>
  <c r="H79" i="15"/>
  <c r="G79" i="15"/>
  <c r="F79" i="15"/>
  <c r="E79" i="15"/>
  <c r="D79" i="15"/>
  <c r="C79" i="15"/>
  <c r="Y73" i="15"/>
  <c r="X73" i="15"/>
  <c r="W73" i="15"/>
  <c r="V73" i="15"/>
  <c r="U73" i="15"/>
  <c r="T73" i="15"/>
  <c r="S73" i="15"/>
  <c r="R73" i="15"/>
  <c r="Q73" i="15"/>
  <c r="P73" i="15"/>
  <c r="O73" i="15"/>
  <c r="N73" i="15"/>
  <c r="M73" i="15"/>
  <c r="L73" i="15"/>
  <c r="K73" i="15"/>
  <c r="J73" i="15"/>
  <c r="I73" i="15"/>
  <c r="H73" i="15"/>
  <c r="G73" i="15"/>
  <c r="F73" i="15"/>
  <c r="E73" i="15"/>
  <c r="D73" i="15"/>
  <c r="C73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Y50" i="15"/>
  <c r="X50" i="15"/>
  <c r="W50" i="15"/>
  <c r="U50" i="15"/>
  <c r="T50" i="15"/>
  <c r="S50" i="15"/>
  <c r="Q50" i="15"/>
  <c r="P50" i="15"/>
  <c r="O50" i="15"/>
  <c r="M50" i="15"/>
  <c r="L50" i="15"/>
  <c r="K50" i="15"/>
  <c r="I50" i="15"/>
  <c r="H50" i="15"/>
  <c r="G50" i="15"/>
  <c r="E50" i="15"/>
  <c r="D50" i="15"/>
  <c r="C50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Y34" i="15"/>
  <c r="W34" i="15"/>
  <c r="U34" i="15"/>
  <c r="S34" i="15"/>
  <c r="Q34" i="15"/>
  <c r="O34" i="15"/>
  <c r="M34" i="15"/>
  <c r="K34" i="15"/>
  <c r="I34" i="15"/>
  <c r="G34" i="15"/>
  <c r="F34" i="15"/>
  <c r="E34" i="15"/>
  <c r="D34" i="15"/>
  <c r="C34" i="15"/>
  <c r="AD34" i="15" s="1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AD27" i="15" s="1"/>
  <c r="E6" i="20" s="1"/>
  <c r="Y20" i="15"/>
  <c r="W20" i="15"/>
  <c r="U20" i="15"/>
  <c r="S20" i="15"/>
  <c r="Q20" i="15"/>
  <c r="O20" i="15"/>
  <c r="M20" i="15"/>
  <c r="K20" i="15"/>
  <c r="I20" i="15"/>
  <c r="G20" i="15"/>
  <c r="E20" i="15"/>
  <c r="C20" i="15"/>
  <c r="AD20" i="15" s="1"/>
  <c r="E5" i="20" s="1"/>
  <c r="Y13" i="15"/>
  <c r="Y36" i="15" s="1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AD13" i="15" s="1"/>
  <c r="Y6" i="15"/>
  <c r="W6" i="15"/>
  <c r="U6" i="15"/>
  <c r="S6" i="15"/>
  <c r="Q6" i="15"/>
  <c r="O6" i="15"/>
  <c r="M6" i="15"/>
  <c r="K6" i="15"/>
  <c r="I6" i="15"/>
  <c r="G6" i="15"/>
  <c r="E6" i="15"/>
  <c r="C6" i="15"/>
  <c r="AC42" i="15" l="1"/>
  <c r="AC91" i="15"/>
  <c r="AC112" i="15"/>
  <c r="AC20" i="15"/>
  <c r="D5" i="20" s="1"/>
  <c r="I5" i="20" s="1"/>
  <c r="J5" i="20" s="1"/>
  <c r="AH113" i="15"/>
  <c r="AC50" i="15"/>
  <c r="AC52" i="15" s="1"/>
  <c r="AC100" i="15"/>
  <c r="AH20" i="15"/>
  <c r="AH52" i="15"/>
  <c r="AC13" i="15"/>
  <c r="AC34" i="15"/>
  <c r="AC79" i="15"/>
  <c r="AC87" i="15" s="1"/>
  <c r="D16" i="20" s="1"/>
  <c r="AC107" i="15"/>
  <c r="AH13" i="15"/>
  <c r="AC27" i="15"/>
  <c r="D6" i="20" s="1"/>
  <c r="I6" i="20" s="1"/>
  <c r="J6" i="20" s="1"/>
  <c r="AH27" i="15"/>
  <c r="AE102" i="15"/>
  <c r="I7" i="20"/>
  <c r="I8" i="20"/>
  <c r="J8" i="20" s="1"/>
  <c r="AI10" i="15"/>
  <c r="C8" i="20"/>
  <c r="G8" i="20" s="1"/>
  <c r="AI31" i="15"/>
  <c r="C7" i="20"/>
  <c r="G7" i="20" s="1"/>
  <c r="J7" i="20"/>
  <c r="I14" i="20"/>
  <c r="J14" i="20" s="1"/>
  <c r="AC103" i="15"/>
  <c r="D15" i="20"/>
  <c r="B27" i="19"/>
  <c r="E23" i="19"/>
  <c r="E27" i="19" s="1"/>
  <c r="B12" i="19"/>
  <c r="E5" i="19"/>
  <c r="G135" i="15"/>
  <c r="G138" i="15" s="1"/>
  <c r="D135" i="15"/>
  <c r="AH8" i="15"/>
  <c r="AG8" i="15"/>
  <c r="AG36" i="15" s="1"/>
  <c r="AE26" i="15"/>
  <c r="C27" i="19"/>
  <c r="C10" i="19"/>
  <c r="AI38" i="15"/>
  <c r="AG42" i="15"/>
  <c r="AI39" i="15"/>
  <c r="AI40" i="15"/>
  <c r="AI41" i="15"/>
  <c r="AG50" i="15"/>
  <c r="AI50" i="15" s="1"/>
  <c r="AI43" i="15"/>
  <c r="AI44" i="15"/>
  <c r="AI45" i="15"/>
  <c r="AI46" i="15"/>
  <c r="AI47" i="15"/>
  <c r="AI48" i="15"/>
  <c r="AI49" i="15"/>
  <c r="AI51" i="15"/>
  <c r="AG56" i="15"/>
  <c r="AI56" i="15" s="1"/>
  <c r="AI53" i="15"/>
  <c r="AI54" i="15"/>
  <c r="AI55" i="15"/>
  <c r="AG65" i="15"/>
  <c r="AI65" i="15" s="1"/>
  <c r="AI57" i="15"/>
  <c r="AI58" i="15"/>
  <c r="AI59" i="15"/>
  <c r="AI60" i="15"/>
  <c r="AI61" i="15"/>
  <c r="AI62" i="15"/>
  <c r="AI63" i="15"/>
  <c r="AI64" i="15"/>
  <c r="AG73" i="15"/>
  <c r="AI73" i="15" s="1"/>
  <c r="AI66" i="15"/>
  <c r="AI67" i="15"/>
  <c r="AI68" i="15"/>
  <c r="AI69" i="15"/>
  <c r="AI70" i="15"/>
  <c r="AI71" i="15"/>
  <c r="AI72" i="15"/>
  <c r="AG79" i="15"/>
  <c r="AI74" i="15"/>
  <c r="AI75" i="15"/>
  <c r="AI76" i="15"/>
  <c r="AI77" i="15"/>
  <c r="AI78" i="15"/>
  <c r="AG82" i="15"/>
  <c r="AI82" i="15" s="1"/>
  <c r="AI80" i="15"/>
  <c r="AI81" i="15"/>
  <c r="AI83" i="15"/>
  <c r="AI84" i="15"/>
  <c r="AI85" i="15"/>
  <c r="AI86" i="15"/>
  <c r="AG91" i="15"/>
  <c r="AI91" i="15" s="1"/>
  <c r="AI88" i="15"/>
  <c r="AI89" i="15"/>
  <c r="AI90" i="15"/>
  <c r="AG100" i="15"/>
  <c r="AI92" i="15"/>
  <c r="AI93" i="15"/>
  <c r="AI94" i="15"/>
  <c r="AI95" i="15"/>
  <c r="AI96" i="15"/>
  <c r="AI97" i="15"/>
  <c r="AI98" i="15"/>
  <c r="AI99" i="15"/>
  <c r="AI101" i="15"/>
  <c r="AG107" i="15"/>
  <c r="AI107" i="15" s="1"/>
  <c r="AI104" i="15"/>
  <c r="AI105" i="15"/>
  <c r="AI106" i="15"/>
  <c r="AG112" i="15"/>
  <c r="AI112" i="15" s="1"/>
  <c r="AI108" i="15"/>
  <c r="AI109" i="15"/>
  <c r="AI110" i="15"/>
  <c r="AI111" i="15"/>
  <c r="B10" i="19"/>
  <c r="B14" i="19"/>
  <c r="E14" i="19" s="1"/>
  <c r="AD65" i="15"/>
  <c r="E13" i="20" s="1"/>
  <c r="AD87" i="15"/>
  <c r="E16" i="20" s="1"/>
  <c r="AD91" i="15"/>
  <c r="AD100" i="15"/>
  <c r="AE42" i="15"/>
  <c r="AE8" i="15"/>
  <c r="AE9" i="15"/>
  <c r="AE17" i="15"/>
  <c r="AE18" i="15"/>
  <c r="AE28" i="15"/>
  <c r="AE66" i="15"/>
  <c r="AE10" i="15"/>
  <c r="AE19" i="15"/>
  <c r="AE29" i="15"/>
  <c r="AE40" i="15"/>
  <c r="AE33" i="15"/>
  <c r="AE61" i="15"/>
  <c r="AE11" i="15"/>
  <c r="AE21" i="15"/>
  <c r="AE51" i="15"/>
  <c r="AE70" i="15"/>
  <c r="AE90" i="15"/>
  <c r="AE12" i="15"/>
  <c r="AE31" i="15"/>
  <c r="AE43" i="15"/>
  <c r="AE53" i="15"/>
  <c r="AE62" i="15"/>
  <c r="AE92" i="15"/>
  <c r="AE101" i="15"/>
  <c r="D52" i="15"/>
  <c r="M87" i="15"/>
  <c r="N87" i="15"/>
  <c r="U87" i="15"/>
  <c r="V87" i="15"/>
  <c r="E87" i="15"/>
  <c r="S87" i="15"/>
  <c r="W87" i="15"/>
  <c r="K87" i="15"/>
  <c r="O87" i="15"/>
  <c r="AA82" i="15"/>
  <c r="C87" i="15"/>
  <c r="D87" i="15"/>
  <c r="D113" i="15" s="1"/>
  <c r="G87" i="15"/>
  <c r="L52" i="15"/>
  <c r="E52" i="15"/>
  <c r="E113" i="15" s="1"/>
  <c r="T87" i="15"/>
  <c r="G36" i="15"/>
  <c r="G52" i="15"/>
  <c r="G113" i="15" s="1"/>
  <c r="G114" i="15" s="1"/>
  <c r="G133" i="15" s="1"/>
  <c r="L87" i="15"/>
  <c r="L113" i="15" s="1"/>
  <c r="H87" i="15"/>
  <c r="I52" i="15"/>
  <c r="I113" i="15" s="1"/>
  <c r="Y87" i="15"/>
  <c r="AA27" i="15"/>
  <c r="AA42" i="15"/>
  <c r="AA65" i="15"/>
  <c r="AA73" i="15"/>
  <c r="AA79" i="15"/>
  <c r="AA91" i="15"/>
  <c r="H52" i="15"/>
  <c r="H113" i="15" s="1"/>
  <c r="T52" i="15"/>
  <c r="W36" i="15"/>
  <c r="X87" i="15"/>
  <c r="I36" i="15"/>
  <c r="AA56" i="15"/>
  <c r="AA100" i="15"/>
  <c r="AA103" i="15" s="1"/>
  <c r="AA112" i="15"/>
  <c r="C36" i="15"/>
  <c r="AA13" i="15"/>
  <c r="AA20" i="15"/>
  <c r="P87" i="15"/>
  <c r="K36" i="15"/>
  <c r="Q87" i="15"/>
  <c r="AA34" i="15"/>
  <c r="AA50" i="15"/>
  <c r="C52" i="15"/>
  <c r="K52" i="15"/>
  <c r="F87" i="15"/>
  <c r="AA107" i="15"/>
  <c r="S52" i="15"/>
  <c r="S113" i="15" s="1"/>
  <c r="U36" i="15"/>
  <c r="M52" i="15"/>
  <c r="M113" i="15" s="1"/>
  <c r="U52" i="15"/>
  <c r="U113" i="15" s="1"/>
  <c r="O52" i="15"/>
  <c r="O113" i="15" s="1"/>
  <c r="P52" i="15"/>
  <c r="X52" i="15"/>
  <c r="X113" i="15" s="1"/>
  <c r="S36" i="15"/>
  <c r="O36" i="15"/>
  <c r="W52" i="15"/>
  <c r="W113" i="15" s="1"/>
  <c r="Q36" i="15"/>
  <c r="Q52" i="15"/>
  <c r="Q113" i="15" s="1"/>
  <c r="Y52" i="15"/>
  <c r="Y113" i="15" s="1"/>
  <c r="Y114" i="15" s="1"/>
  <c r="Y133" i="15" s="1"/>
  <c r="E36" i="15"/>
  <c r="M36" i="15"/>
  <c r="AC36" i="15" l="1"/>
  <c r="I135" i="15"/>
  <c r="I138" i="15" s="1"/>
  <c r="AD103" i="15"/>
  <c r="E15" i="20"/>
  <c r="I16" i="20"/>
  <c r="J16" i="20" s="1"/>
  <c r="I13" i="20"/>
  <c r="J13" i="20" s="1"/>
  <c r="I15" i="20"/>
  <c r="J15" i="20" s="1"/>
  <c r="D9" i="20"/>
  <c r="AC113" i="15"/>
  <c r="D12" i="20"/>
  <c r="I12" i="20" s="1"/>
  <c r="J12" i="20" s="1"/>
  <c r="AG103" i="15"/>
  <c r="AI103" i="15" s="1"/>
  <c r="AI100" i="15"/>
  <c r="AG87" i="15"/>
  <c r="AI87" i="15" s="1"/>
  <c r="AI79" i="15"/>
  <c r="AG52" i="15"/>
  <c r="AI42" i="15"/>
  <c r="AI8" i="15"/>
  <c r="B21" i="19"/>
  <c r="B31" i="19" s="1"/>
  <c r="AD113" i="15"/>
  <c r="E17" i="20" s="1"/>
  <c r="Y116" i="15"/>
  <c r="G116" i="15"/>
  <c r="Q114" i="15"/>
  <c r="Q133" i="15" s="1"/>
  <c r="P113" i="15"/>
  <c r="AA52" i="15"/>
  <c r="AA87" i="15"/>
  <c r="K113" i="15"/>
  <c r="K114" i="15" s="1"/>
  <c r="K133" i="15" s="1"/>
  <c r="C113" i="15"/>
  <c r="I114" i="15"/>
  <c r="I133" i="15" s="1"/>
  <c r="E114" i="15"/>
  <c r="AA36" i="15"/>
  <c r="T113" i="15"/>
  <c r="W114" i="15"/>
  <c r="W133" i="15" s="1"/>
  <c r="U114" i="15"/>
  <c r="U133" i="15" s="1"/>
  <c r="M114" i="15"/>
  <c r="M133" i="15" s="1"/>
  <c r="S114" i="15"/>
  <c r="S133" i="15" s="1"/>
  <c r="O114" i="15"/>
  <c r="O133" i="15" s="1"/>
  <c r="E22" i="17"/>
  <c r="K135" i="15" l="1"/>
  <c r="K138" i="15" s="1"/>
  <c r="M138" i="15" s="1"/>
  <c r="O138" i="15" s="1"/>
  <c r="Q138" i="15" s="1"/>
  <c r="S138" i="15" s="1"/>
  <c r="U138" i="15" s="1"/>
  <c r="W138" i="15" s="1"/>
  <c r="Y138" i="15" s="1"/>
  <c r="E11" i="20"/>
  <c r="D4" i="20"/>
  <c r="D17" i="20"/>
  <c r="I17" i="20" s="1"/>
  <c r="J17" i="20" s="1"/>
  <c r="AC114" i="15"/>
  <c r="AI52" i="15"/>
  <c r="AG113" i="15"/>
  <c r="E11" i="19"/>
  <c r="B29" i="19"/>
  <c r="C21" i="19"/>
  <c r="E21" i="19"/>
  <c r="O116" i="15"/>
  <c r="S116" i="15"/>
  <c r="M116" i="15"/>
  <c r="U116" i="15"/>
  <c r="W116" i="15"/>
  <c r="E116" i="15"/>
  <c r="E133" i="15"/>
  <c r="I116" i="15"/>
  <c r="K116" i="15"/>
  <c r="Q116" i="15"/>
  <c r="AA113" i="15"/>
  <c r="AA114" i="15" s="1"/>
  <c r="C114" i="15"/>
  <c r="AA116" i="15"/>
  <c r="D11" i="20" l="1"/>
  <c r="I11" i="20" s="1"/>
  <c r="AI113" i="15"/>
  <c r="AG114" i="15"/>
  <c r="AG116" i="15" s="1"/>
  <c r="E12" i="19"/>
  <c r="E31" i="19" s="1"/>
  <c r="C31" i="19"/>
  <c r="C29" i="19"/>
  <c r="C116" i="15"/>
  <c r="C133" i="15"/>
  <c r="G16" i="17"/>
  <c r="G14" i="17"/>
  <c r="B21" i="17"/>
  <c r="B18" i="17"/>
  <c r="B15" i="17"/>
  <c r="B12" i="17"/>
  <c r="D22" i="17"/>
  <c r="E21" i="17"/>
  <c r="J11" i="20" l="1"/>
  <c r="D19" i="20"/>
  <c r="C134" i="15"/>
  <c r="E29" i="19"/>
  <c r="E30" i="19" s="1"/>
  <c r="E32" i="19"/>
  <c r="F32" i="19" s="1"/>
  <c r="E131" i="15"/>
  <c r="C139" i="15"/>
  <c r="E134" i="15"/>
  <c r="G131" i="15" s="1"/>
  <c r="V52" i="15"/>
  <c r="V113" i="15" s="1"/>
  <c r="R50" i="15"/>
  <c r="R52" i="15" s="1"/>
  <c r="R113" i="15" s="1"/>
  <c r="N50" i="15"/>
  <c r="N52" i="15" s="1"/>
  <c r="N113" i="15" s="1"/>
  <c r="J50" i="15"/>
  <c r="J52" i="15" s="1"/>
  <c r="J113" i="15" s="1"/>
  <c r="X20" i="15"/>
  <c r="V20" i="15"/>
  <c r="T20" i="15"/>
  <c r="N20" i="15"/>
  <c r="R20" i="15"/>
  <c r="P20" i="15"/>
  <c r="D20" i="15"/>
  <c r="D36" i="15" s="1"/>
  <c r="D114" i="15" s="1"/>
  <c r="D116" i="15" s="1"/>
  <c r="J20" i="15"/>
  <c r="L20" i="15"/>
  <c r="H20" i="15"/>
  <c r="B112" i="15"/>
  <c r="B107" i="15"/>
  <c r="B100" i="15"/>
  <c r="B103" i="15" s="1"/>
  <c r="B91" i="15"/>
  <c r="B82" i="15"/>
  <c r="B79" i="15"/>
  <c r="B73" i="15"/>
  <c r="B56" i="15"/>
  <c r="B42" i="15"/>
  <c r="B27" i="15"/>
  <c r="Z27" i="15" s="1"/>
  <c r="B13" i="15"/>
  <c r="Z13" i="15" s="1"/>
  <c r="N25" i="14"/>
  <c r="N24" i="14"/>
  <c r="L110" i="14"/>
  <c r="K110" i="14"/>
  <c r="I110" i="14"/>
  <c r="H110" i="14"/>
  <c r="F110" i="14"/>
  <c r="E110" i="14"/>
  <c r="C110" i="14"/>
  <c r="B110" i="14"/>
  <c r="M109" i="14"/>
  <c r="J109" i="14"/>
  <c r="G109" i="14"/>
  <c r="D109" i="14"/>
  <c r="N108" i="14"/>
  <c r="N107" i="14"/>
  <c r="N106" i="14"/>
  <c r="M105" i="14"/>
  <c r="L105" i="14"/>
  <c r="K105" i="14"/>
  <c r="J105" i="14"/>
  <c r="I105" i="14"/>
  <c r="H105" i="14"/>
  <c r="G105" i="14"/>
  <c r="F105" i="14"/>
  <c r="E105" i="14"/>
  <c r="D105" i="14"/>
  <c r="C105" i="14"/>
  <c r="B105" i="14"/>
  <c r="N104" i="14"/>
  <c r="N103" i="14"/>
  <c r="N102" i="14"/>
  <c r="N100" i="14"/>
  <c r="L99" i="14"/>
  <c r="L101" i="14" s="1"/>
  <c r="K99" i="14"/>
  <c r="J99" i="14"/>
  <c r="J101" i="14" s="1"/>
  <c r="I99" i="14"/>
  <c r="I101" i="14" s="1"/>
  <c r="H99" i="14"/>
  <c r="G99" i="14"/>
  <c r="G101" i="14" s="1"/>
  <c r="F99" i="14"/>
  <c r="F101" i="14" s="1"/>
  <c r="E99" i="14"/>
  <c r="D99" i="14"/>
  <c r="D101" i="14" s="1"/>
  <c r="C99" i="14"/>
  <c r="C101" i="14" s="1"/>
  <c r="B99" i="14"/>
  <c r="N98" i="14"/>
  <c r="N97" i="14"/>
  <c r="M96" i="14"/>
  <c r="N95" i="14"/>
  <c r="N94" i="14"/>
  <c r="N93" i="14"/>
  <c r="N92" i="14"/>
  <c r="N91" i="14"/>
  <c r="M90" i="14"/>
  <c r="L90" i="14"/>
  <c r="K90" i="14"/>
  <c r="J90" i="14"/>
  <c r="I90" i="14"/>
  <c r="H90" i="14"/>
  <c r="G90" i="14"/>
  <c r="F90" i="14"/>
  <c r="E90" i="14"/>
  <c r="D90" i="14"/>
  <c r="C90" i="14"/>
  <c r="B90" i="14"/>
  <c r="N89" i="14"/>
  <c r="N88" i="14"/>
  <c r="N87" i="14"/>
  <c r="N85" i="14"/>
  <c r="N84" i="14"/>
  <c r="N83" i="14"/>
  <c r="N82" i="14"/>
  <c r="M81" i="14"/>
  <c r="L81" i="14"/>
  <c r="K81" i="14"/>
  <c r="J81" i="14"/>
  <c r="I81" i="14"/>
  <c r="H81" i="14"/>
  <c r="G81" i="14"/>
  <c r="F81" i="14"/>
  <c r="E81" i="14"/>
  <c r="D81" i="14"/>
  <c r="C81" i="14"/>
  <c r="B81" i="14"/>
  <c r="N80" i="14"/>
  <c r="N79" i="14"/>
  <c r="M78" i="14"/>
  <c r="M86" i="14" s="1"/>
  <c r="B78" i="14"/>
  <c r="N77" i="14"/>
  <c r="N76" i="14"/>
  <c r="L75" i="14"/>
  <c r="L78" i="14" s="1"/>
  <c r="L86" i="14" s="1"/>
  <c r="K75" i="14"/>
  <c r="J75" i="14"/>
  <c r="J78" i="14" s="1"/>
  <c r="J86" i="14" s="1"/>
  <c r="I75" i="14"/>
  <c r="I78" i="14" s="1"/>
  <c r="I86" i="14" s="1"/>
  <c r="H75" i="14"/>
  <c r="G75" i="14"/>
  <c r="G78" i="14" s="1"/>
  <c r="G86" i="14" s="1"/>
  <c r="F75" i="14"/>
  <c r="F78" i="14" s="1"/>
  <c r="F86" i="14" s="1"/>
  <c r="E75" i="14"/>
  <c r="D75" i="14"/>
  <c r="D78" i="14" s="1"/>
  <c r="D86" i="14" s="1"/>
  <c r="C75" i="14"/>
  <c r="N74" i="14"/>
  <c r="N73" i="14"/>
  <c r="M72" i="14"/>
  <c r="L72" i="14"/>
  <c r="K72" i="14"/>
  <c r="J72" i="14"/>
  <c r="I72" i="14"/>
  <c r="H72" i="14"/>
  <c r="G72" i="14"/>
  <c r="F72" i="14"/>
  <c r="E72" i="14"/>
  <c r="D72" i="14"/>
  <c r="C72" i="14"/>
  <c r="B72" i="14"/>
  <c r="N71" i="14"/>
  <c r="N70" i="14"/>
  <c r="N69" i="14"/>
  <c r="N68" i="14"/>
  <c r="N67" i="14"/>
  <c r="N66" i="14"/>
  <c r="N65" i="14"/>
  <c r="M64" i="14"/>
  <c r="L64" i="14"/>
  <c r="K64" i="14"/>
  <c r="J64" i="14"/>
  <c r="I64" i="14"/>
  <c r="H64" i="14"/>
  <c r="G64" i="14"/>
  <c r="F64" i="14"/>
  <c r="E64" i="14"/>
  <c r="C64" i="14"/>
  <c r="B64" i="14"/>
  <c r="N63" i="14"/>
  <c r="N62" i="14"/>
  <c r="N61" i="14"/>
  <c r="N60" i="14"/>
  <c r="N59" i="14"/>
  <c r="D58" i="14"/>
  <c r="N57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N55" i="14"/>
  <c r="N54" i="14"/>
  <c r="N53" i="14"/>
  <c r="N51" i="14"/>
  <c r="L50" i="14"/>
  <c r="K50" i="14"/>
  <c r="I50" i="14"/>
  <c r="H50" i="14"/>
  <c r="F50" i="14"/>
  <c r="E50" i="14"/>
  <c r="C50" i="14"/>
  <c r="B50" i="14"/>
  <c r="N49" i="14"/>
  <c r="N48" i="14"/>
  <c r="M47" i="14"/>
  <c r="J47" i="14"/>
  <c r="G47" i="14"/>
  <c r="D47" i="14"/>
  <c r="N46" i="14"/>
  <c r="N45" i="14"/>
  <c r="N44" i="14"/>
  <c r="N43" i="14"/>
  <c r="M42" i="14"/>
  <c r="L42" i="14"/>
  <c r="L52" i="14" s="1"/>
  <c r="L111" i="14" s="1"/>
  <c r="K42" i="14"/>
  <c r="J42" i="14"/>
  <c r="I42" i="14"/>
  <c r="I52" i="14" s="1"/>
  <c r="I111" i="14" s="1"/>
  <c r="H42" i="14"/>
  <c r="G42" i="14"/>
  <c r="F42" i="14"/>
  <c r="F52" i="14" s="1"/>
  <c r="F111" i="14" s="1"/>
  <c r="E42" i="14"/>
  <c r="D42" i="14"/>
  <c r="C42" i="14"/>
  <c r="C52" i="14" s="1"/>
  <c r="B42" i="14"/>
  <c r="N41" i="14"/>
  <c r="N40" i="14"/>
  <c r="N39" i="14"/>
  <c r="N38" i="14"/>
  <c r="N35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N33" i="14"/>
  <c r="N32" i="14"/>
  <c r="N31" i="14"/>
  <c r="N30" i="14"/>
  <c r="N29" i="14"/>
  <c r="N28" i="14"/>
  <c r="M26" i="14"/>
  <c r="L26" i="14"/>
  <c r="L27" i="14" s="1"/>
  <c r="K26" i="14"/>
  <c r="J26" i="14"/>
  <c r="I26" i="14"/>
  <c r="I27" i="14" s="1"/>
  <c r="H26" i="14"/>
  <c r="G26" i="14"/>
  <c r="F26" i="14"/>
  <c r="F27" i="14" s="1"/>
  <c r="E26" i="14"/>
  <c r="D26" i="14"/>
  <c r="C26" i="14"/>
  <c r="N26" i="14" s="1"/>
  <c r="M23" i="14"/>
  <c r="J23" i="14"/>
  <c r="G23" i="14"/>
  <c r="D23" i="14"/>
  <c r="N23" i="14" s="1"/>
  <c r="B22" i="14"/>
  <c r="N21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N19" i="14"/>
  <c r="N18" i="14"/>
  <c r="N17" i="14"/>
  <c r="N16" i="14"/>
  <c r="N15" i="14"/>
  <c r="N14" i="14"/>
  <c r="M13" i="14"/>
  <c r="L13" i="14"/>
  <c r="L36" i="14" s="1"/>
  <c r="L112" i="14" s="1"/>
  <c r="K13" i="14"/>
  <c r="J13" i="14"/>
  <c r="I13" i="14"/>
  <c r="I36" i="14" s="1"/>
  <c r="I112" i="14" s="1"/>
  <c r="H13" i="14"/>
  <c r="G13" i="14"/>
  <c r="F13" i="14"/>
  <c r="F36" i="14" s="1"/>
  <c r="F112" i="14" s="1"/>
  <c r="E13" i="14"/>
  <c r="D13" i="14"/>
  <c r="C13" i="14"/>
  <c r="B13" i="14"/>
  <c r="N12" i="14"/>
  <c r="N11" i="14"/>
  <c r="N10" i="14"/>
  <c r="N9" i="14"/>
  <c r="N8" i="14"/>
  <c r="AI27" i="15" l="1"/>
  <c r="C6" i="20"/>
  <c r="G6" i="20" s="1"/>
  <c r="D20" i="20"/>
  <c r="AI13" i="15"/>
  <c r="G134" i="15"/>
  <c r="E139" i="15"/>
  <c r="Z42" i="15"/>
  <c r="Z56" i="15"/>
  <c r="Z73" i="15"/>
  <c r="C14" i="20" s="1"/>
  <c r="G14" i="20" s="1"/>
  <c r="Z79" i="15"/>
  <c r="Z82" i="15"/>
  <c r="Z91" i="15"/>
  <c r="Z100" i="15"/>
  <c r="Z107" i="15"/>
  <c r="Z112" i="15"/>
  <c r="AE27" i="15"/>
  <c r="AE56" i="15"/>
  <c r="AE73" i="15"/>
  <c r="AE79" i="15"/>
  <c r="AE82" i="15"/>
  <c r="AE91" i="15"/>
  <c r="AE107" i="15"/>
  <c r="AE112" i="15"/>
  <c r="AE100" i="15"/>
  <c r="AE13" i="15"/>
  <c r="F50" i="15"/>
  <c r="F52" i="15" s="1"/>
  <c r="F113" i="15" s="1"/>
  <c r="B50" i="15"/>
  <c r="B65" i="15"/>
  <c r="F20" i="15"/>
  <c r="B20" i="15"/>
  <c r="Z20" i="15" s="1"/>
  <c r="C5" i="20" s="1"/>
  <c r="B34" i="15"/>
  <c r="B52" i="15"/>
  <c r="B87" i="15"/>
  <c r="N20" i="14"/>
  <c r="D27" i="14"/>
  <c r="D36" i="14" s="1"/>
  <c r="G27" i="14"/>
  <c r="G36" i="14" s="1"/>
  <c r="J27" i="14"/>
  <c r="J36" i="14" s="1"/>
  <c r="M27" i="14"/>
  <c r="M36" i="14" s="1"/>
  <c r="C27" i="14"/>
  <c r="C36" i="14" s="1"/>
  <c r="E27" i="14"/>
  <c r="H27" i="14"/>
  <c r="K27" i="14"/>
  <c r="N34" i="14"/>
  <c r="E52" i="14"/>
  <c r="H52" i="14"/>
  <c r="K52" i="14"/>
  <c r="G50" i="14"/>
  <c r="G52" i="14" s="1"/>
  <c r="J50" i="14"/>
  <c r="J52" i="14" s="1"/>
  <c r="M50" i="14"/>
  <c r="M52" i="14" s="1"/>
  <c r="N56" i="14"/>
  <c r="N72" i="14"/>
  <c r="E78" i="14"/>
  <c r="H78" i="14"/>
  <c r="K78" i="14"/>
  <c r="N81" i="14"/>
  <c r="N90" i="14"/>
  <c r="E101" i="14"/>
  <c r="H101" i="14"/>
  <c r="K101" i="14"/>
  <c r="N105" i="14"/>
  <c r="G110" i="14"/>
  <c r="J110" i="14"/>
  <c r="M110" i="14"/>
  <c r="N13" i="14"/>
  <c r="B27" i="14"/>
  <c r="N22" i="14"/>
  <c r="B52" i="14"/>
  <c r="N42" i="14"/>
  <c r="D50" i="14"/>
  <c r="N47" i="14"/>
  <c r="N50" i="14"/>
  <c r="D64" i="14"/>
  <c r="N58" i="14"/>
  <c r="N64" i="14"/>
  <c r="C78" i="14"/>
  <c r="N75" i="14"/>
  <c r="B86" i="14"/>
  <c r="N78" i="14"/>
  <c r="M99" i="14"/>
  <c r="N96" i="14"/>
  <c r="B101" i="14"/>
  <c r="N99" i="14"/>
  <c r="D110" i="14"/>
  <c r="N109" i="14"/>
  <c r="N110" i="14"/>
  <c r="I131" i="15" l="1"/>
  <c r="G142" i="15"/>
  <c r="G5" i="20"/>
  <c r="Z103" i="15"/>
  <c r="C15" i="20"/>
  <c r="G15" i="20" s="1"/>
  <c r="F36" i="15"/>
  <c r="F114" i="15" s="1"/>
  <c r="F116" i="15" s="1"/>
  <c r="I134" i="15"/>
  <c r="I142" i="15" s="1"/>
  <c r="G139" i="15"/>
  <c r="Z87" i="15"/>
  <c r="C16" i="20" s="1"/>
  <c r="G16" i="20" s="1"/>
  <c r="Z52" i="15"/>
  <c r="C12" i="20" s="1"/>
  <c r="Z65" i="15"/>
  <c r="C13" i="20" s="1"/>
  <c r="G13" i="20" s="1"/>
  <c r="Z50" i="15"/>
  <c r="AE87" i="15"/>
  <c r="AE103" i="15"/>
  <c r="AE20" i="15"/>
  <c r="AE65" i="15"/>
  <c r="AE50" i="15"/>
  <c r="AE52" i="15"/>
  <c r="AE34" i="15"/>
  <c r="AD36" i="15"/>
  <c r="E9" i="20" s="1"/>
  <c r="I9" i="20" s="1"/>
  <c r="B36" i="15"/>
  <c r="B113" i="15"/>
  <c r="M101" i="14"/>
  <c r="C86" i="14"/>
  <c r="D52" i="14"/>
  <c r="K86" i="14"/>
  <c r="H86" i="14"/>
  <c r="E86" i="14"/>
  <c r="J111" i="14"/>
  <c r="G111" i="14"/>
  <c r="K111" i="14"/>
  <c r="H111" i="14"/>
  <c r="E111" i="14"/>
  <c r="K36" i="14"/>
  <c r="H36" i="14"/>
  <c r="E36" i="14"/>
  <c r="J112" i="14"/>
  <c r="G112" i="14"/>
  <c r="D111" i="14"/>
  <c r="D112" i="14" s="1"/>
  <c r="B111" i="14"/>
  <c r="N52" i="14"/>
  <c r="N27" i="14"/>
  <c r="BY28" i="14" s="1"/>
  <c r="B36" i="14"/>
  <c r="N36" i="14"/>
  <c r="K131" i="15" l="1"/>
  <c r="E4" i="20"/>
  <c r="I4" i="20" s="1"/>
  <c r="I19" i="20" s="1"/>
  <c r="J9" i="20"/>
  <c r="G12" i="20"/>
  <c r="AI20" i="15"/>
  <c r="AE36" i="15"/>
  <c r="AD114" i="15"/>
  <c r="K134" i="15"/>
  <c r="K142" i="15" s="1"/>
  <c r="I139" i="15"/>
  <c r="Z113" i="15"/>
  <c r="C17" i="20" s="1"/>
  <c r="AE113" i="15"/>
  <c r="AD116" i="15"/>
  <c r="B114" i="15"/>
  <c r="B112" i="14"/>
  <c r="E112" i="14"/>
  <c r="H112" i="14"/>
  <c r="K112" i="14"/>
  <c r="C111" i="14"/>
  <c r="N86" i="14"/>
  <c r="M111" i="14"/>
  <c r="N101" i="14"/>
  <c r="E22" i="20" l="1" a="1"/>
  <c r="E22" i="20" s="1"/>
  <c r="G22" i="20" s="1"/>
  <c r="G17" i="20"/>
  <c r="C11" i="20"/>
  <c r="G11" i="20" s="1"/>
  <c r="E19" i="20"/>
  <c r="J4" i="20"/>
  <c r="B134" i="15"/>
  <c r="D131" i="15" s="1"/>
  <c r="D134" i="15" s="1"/>
  <c r="B116" i="15"/>
  <c r="M134" i="15"/>
  <c r="K139" i="15"/>
  <c r="B142" i="15"/>
  <c r="B139" i="15"/>
  <c r="M112" i="14"/>
  <c r="N111" i="14"/>
  <c r="N112" i="14" s="1"/>
  <c r="C112" i="14"/>
  <c r="F131" i="15" l="1"/>
  <c r="E20" i="20"/>
  <c r="J19" i="20"/>
  <c r="O134" i="15"/>
  <c r="M139" i="15"/>
  <c r="F134" i="15"/>
  <c r="G22" i="17"/>
  <c r="H131" i="15" l="1"/>
  <c r="Q134" i="15"/>
  <c r="O139" i="15"/>
  <c r="S134" i="15" l="1"/>
  <c r="Q139" i="15"/>
  <c r="V34" i="15"/>
  <c r="V36" i="15"/>
  <c r="V114" i="15"/>
  <c r="V116" i="15" s="1"/>
  <c r="R34" i="15"/>
  <c r="R36" i="15" s="1"/>
  <c r="R114" i="15" s="1"/>
  <c r="R116" i="15" s="1"/>
  <c r="N34" i="15"/>
  <c r="N36" i="15"/>
  <c r="N114" i="15"/>
  <c r="N116" i="15" s="1"/>
  <c r="J34" i="15"/>
  <c r="J36" i="15"/>
  <c r="J114" i="15"/>
  <c r="J116" i="15" s="1"/>
  <c r="L34" i="15"/>
  <c r="L36" i="15"/>
  <c r="L114" i="15"/>
  <c r="L116" i="15" s="1"/>
  <c r="P34" i="15"/>
  <c r="P36" i="15"/>
  <c r="P114" i="15" s="1"/>
  <c r="P116" i="15" s="1"/>
  <c r="T34" i="15"/>
  <c r="T36" i="15"/>
  <c r="T114" i="15"/>
  <c r="T116" i="15" s="1"/>
  <c r="X34" i="15"/>
  <c r="X36" i="15"/>
  <c r="X114" i="15"/>
  <c r="X116" i="15" s="1"/>
  <c r="H34" i="15"/>
  <c r="H36" i="15"/>
  <c r="Z36" i="15" s="1"/>
  <c r="C9" i="20" s="1"/>
  <c r="H114" i="15"/>
  <c r="H116" i="15" s="1"/>
  <c r="H134" i="15"/>
  <c r="Z30" i="15"/>
  <c r="AI30" i="15" s="1"/>
  <c r="C4" i="20" l="1"/>
  <c r="G9" i="20"/>
  <c r="Z114" i="15"/>
  <c r="AA121" i="15"/>
  <c r="J131" i="15"/>
  <c r="J134" i="15" s="1"/>
  <c r="Z34" i="15"/>
  <c r="U134" i="15"/>
  <c r="S139" i="15"/>
  <c r="Z116" i="15"/>
  <c r="L131" i="15" l="1"/>
  <c r="C19" i="20"/>
  <c r="G4" i="20"/>
  <c r="AI34" i="15"/>
  <c r="AH36" i="15"/>
  <c r="W134" i="15"/>
  <c r="U139" i="15"/>
  <c r="AE114" i="15"/>
  <c r="AE116" i="15" s="1"/>
  <c r="AC116" i="15"/>
  <c r="L134" i="15"/>
  <c r="N131" i="15" l="1"/>
  <c r="N134" i="15" s="1"/>
  <c r="C20" i="20"/>
  <c r="G19" i="20"/>
  <c r="AH114" i="15"/>
  <c r="AI36" i="15"/>
  <c r="Y134" i="15"/>
  <c r="W139" i="15"/>
  <c r="P131" i="15" l="1"/>
  <c r="AH116" i="15"/>
  <c r="AI114" i="15"/>
  <c r="AI116" i="15" s="1"/>
  <c r="Y139" i="15"/>
  <c r="P134" i="15"/>
  <c r="R131" i="15" l="1"/>
  <c r="R134" i="15" s="1"/>
  <c r="T131" i="15" l="1"/>
  <c r="T134" i="15" s="1"/>
  <c r="V131" i="15" l="1"/>
  <c r="V134" i="15"/>
  <c r="X131" i="15" l="1"/>
  <c r="X134" i="15"/>
  <c r="D138" i="15" l="1"/>
  <c r="F135" i="15" l="1"/>
  <c r="D142" i="15"/>
  <c r="D139" i="15"/>
  <c r="F138" i="15" l="1"/>
  <c r="F142" i="15" s="1"/>
  <c r="H135" i="15" l="1"/>
  <c r="F139" i="15"/>
  <c r="H138" i="15" l="1"/>
  <c r="H142" i="15" s="1"/>
  <c r="J135" i="15" l="1"/>
  <c r="J138" i="15"/>
  <c r="J142" i="15" s="1"/>
  <c r="H139" i="15"/>
  <c r="L135" i="15" l="1"/>
  <c r="L138" i="15" s="1"/>
  <c r="L142" i="15" s="1"/>
  <c r="D22" i="20" a="1"/>
  <c r="D22" i="20" s="1"/>
  <c r="I22" i="20" s="1"/>
  <c r="J22" i="20" s="1"/>
  <c r="L139" i="15"/>
  <c r="J139" i="15"/>
  <c r="N135" i="15" l="1"/>
  <c r="N138" i="15" s="1"/>
  <c r="N142" i="15" s="1"/>
  <c r="P135" i="15" l="1"/>
  <c r="P138" i="15" s="1"/>
  <c r="P142" i="15" s="1"/>
  <c r="N139" i="15"/>
  <c r="R135" i="15" l="1"/>
  <c r="R138" i="15" s="1"/>
  <c r="R142" i="15" s="1"/>
  <c r="P139" i="15"/>
  <c r="T135" i="15" l="1"/>
  <c r="T138" i="15" s="1"/>
  <c r="T142" i="15" s="1"/>
  <c r="R139" i="15"/>
  <c r="V135" i="15" l="1"/>
  <c r="V138" i="15" s="1"/>
  <c r="V142" i="15" s="1"/>
  <c r="T139" i="15"/>
  <c r="X135" i="15" l="1"/>
  <c r="X138" i="15" s="1"/>
  <c r="X142" i="15" s="1"/>
  <c r="V139" i="15"/>
  <c r="X139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tc={8E653416-87EB-4DA2-8316-65682AE032AD}</author>
    <author>tc={3341B605-3EE8-4BA6-9113-991DD40EFA62}</author>
    <author>tc={FD4FAC0C-CD3A-40A0-BFEC-36969001CB74}</author>
  </authors>
  <commentList>
    <comment ref="C32" authorId="0" shapeId="0" xr:uid="{8E653416-87EB-4DA2-8316-65682AE032AD}">
      <text>
        <t>[Threaded comment]
Your version of Excel allows you to read this threaded comment; however, any edits to it will get removed if the file is opened in a newer version of Excel. Learn more: https://go.microsoft.com/fwlink/?linkid=870924
Comment:
    Reimbursement for Fraudulent Debits from Maskfog in October, November and December 2024.</t>
      </text>
    </comment>
    <comment ref="N64" authorId="1" shapeId="0" xr:uid="{3341B605-3EE8-4BA6-9113-991DD40EFA62}">
      <text>
        <t>[Threaded comment]
Your version of Excel allows you to read this threaded comment; however, any edits to it will get removed if the file is opened in a newer version of Excel. Learn more: https://go.microsoft.com/fwlink/?linkid=870924
Comment:
    Barbara</t>
      </text>
    </comment>
    <comment ref="A83" authorId="2" shapeId="0" xr:uid="{FD4FAC0C-CD3A-40A0-BFEC-36969001CB74}">
      <text>
        <t>[Threaded comment]
Your version of Excel allows you to read this threaded comment; however, any edits to it will get removed if the file is opened in a newer version of Excel. Learn more: https://go.microsoft.com/fwlink/?linkid=870924
Comment:
    For 2025: Hartford Insurance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tc={752EBCF6-292C-4953-B1EF-FA5FCD565BE1}</author>
    <author>tc={872AE5CF-2900-4CE1-98AA-F28D92B44EEB}</author>
  </authors>
  <commentList>
    <comment ref="B70" authorId="0" shapeId="0" xr:uid="{752EBCF6-292C-4953-B1EF-FA5FCD565BE1}">
      <text>
        <t>[Threaded comment]
Your version of Excel allows you to read this threaded comment; however, any edits to it will get removed if the file is opened in a newer version of Excel. Learn more: https://go.microsoft.com/fwlink/?linkid=870924
Comment:
    Microsoft 365</t>
      </text>
    </comment>
    <comment ref="E84" authorId="1" shapeId="0" xr:uid="{872AE5CF-2900-4CE1-98AA-F28D92B44EEB}">
      <text>
        <t>[Threaded comment]
Your version of Excel allows you to read this threaded comment; however, any edits to it will get removed if the file is opened in a newer version of Excel. Learn more: https://go.microsoft.com/fwlink/?linkid=870924
Comment:
    Sunbiz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<sst xmlns="http://schemas.openxmlformats.org/spreadsheetml/2006/main" count="503" uniqueCount="263">
  <si>
    <t>FULL YEAR</t>
  </si>
  <si>
    <t>YTD</t>
  </si>
  <si>
    <t>As % of Goal</t>
  </si>
  <si>
    <t>YTD BUD vs ACT</t>
  </si>
  <si>
    <t>2025
Goal</t>
  </si>
  <si>
    <t>2025
BUD</t>
  </si>
  <si>
    <t>2025
ACT</t>
  </si>
  <si>
    <t>%</t>
  </si>
  <si>
    <t>$</t>
  </si>
  <si>
    <t>Income</t>
  </si>
  <si>
    <t>Events</t>
  </si>
  <si>
    <t>Membership</t>
  </si>
  <si>
    <t>CHIPs</t>
  </si>
  <si>
    <t>Sponsorships</t>
  </si>
  <si>
    <t>Other</t>
  </si>
  <si>
    <t>Expenses</t>
  </si>
  <si>
    <t>Program Fees</t>
  </si>
  <si>
    <t xml:space="preserve">Leadership </t>
  </si>
  <si>
    <t>Information Technology</t>
  </si>
  <si>
    <t>PD Events</t>
  </si>
  <si>
    <t>Admin / Finance</t>
  </si>
  <si>
    <t>Misc Expense</t>
  </si>
  <si>
    <t>Margin %</t>
  </si>
  <si>
    <t>n/a</t>
  </si>
  <si>
    <t>Funds</t>
  </si>
  <si>
    <t>ATD NEFL</t>
  </si>
  <si>
    <t>2025 Annual Event Results</t>
  </si>
  <si>
    <t>Currency in USD</t>
  </si>
  <si>
    <t>INCOME</t>
  </si>
  <si>
    <t>January</t>
  </si>
  <si>
    <t>February</t>
  </si>
  <si>
    <t>March</t>
  </si>
  <si>
    <t>Total</t>
  </si>
  <si>
    <t>Comments</t>
  </si>
  <si>
    <t>RightFlorida:Maureen Shea</t>
  </si>
  <si>
    <t>Diamond</t>
  </si>
  <si>
    <t>CBK Advising:Karen Nutter</t>
  </si>
  <si>
    <t>Gold</t>
  </si>
  <si>
    <t>NLP Logix:Melissa Baker</t>
  </si>
  <si>
    <t>Platinum</t>
  </si>
  <si>
    <t>ICATT Consulting</t>
  </si>
  <si>
    <t>Bronze</t>
  </si>
  <si>
    <t>Check</t>
  </si>
  <si>
    <t>Annual Event Sponsorship Allocation</t>
  </si>
  <si>
    <t>Assumed 75% of Sponsorship awarded to Annual Event</t>
  </si>
  <si>
    <t>Sponsorships Allocated to Annual Event</t>
  </si>
  <si>
    <t>General Annual Event Registration</t>
  </si>
  <si>
    <t>Exclusive to Annual Event Registration</t>
  </si>
  <si>
    <t>Simultaneous: Membership + Registration</t>
  </si>
  <si>
    <t>Membership portion not included in this table</t>
  </si>
  <si>
    <t>Yadira Batlle-Gomez</t>
  </si>
  <si>
    <t>Traditional Membership</t>
  </si>
  <si>
    <t>Casey Gibson</t>
  </si>
  <si>
    <t>Korssis Rullan</t>
  </si>
  <si>
    <t>All-Inclusive Membership</t>
  </si>
  <si>
    <t>Robin Mendelson</t>
  </si>
  <si>
    <t>Annual Event : Gross Income</t>
  </si>
  <si>
    <t>EXPENSES</t>
  </si>
  <si>
    <t>Meals</t>
  </si>
  <si>
    <t>Library Rent</t>
  </si>
  <si>
    <t>$1000 Downpayment in OCT-24, added in JAN column</t>
  </si>
  <si>
    <t>Marketing (FedEX, Tablecloth, Parking)</t>
  </si>
  <si>
    <t>Matthew and James' Gift Certificates</t>
  </si>
  <si>
    <t>Annual Event : Total Expenses</t>
  </si>
  <si>
    <t>NET INCOME</t>
  </si>
  <si>
    <t>Annual Event Net Income w/o Sponsorships</t>
  </si>
  <si>
    <t>Profit Margin w/o Sponsorships</t>
  </si>
  <si>
    <t>Break Even</t>
  </si>
  <si>
    <t>Annual Event Net Income with Sponsorships</t>
  </si>
  <si>
    <t>2025 Financials by Month</t>
  </si>
  <si>
    <t>ATD NEFL INCOME STATEMENT</t>
  </si>
  <si>
    <t xml:space="preserve">YTD </t>
  </si>
  <si>
    <t>B/(W)</t>
  </si>
  <si>
    <t>MoM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</si>
  <si>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</si>
  <si>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</si>
  <si>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</si>
  <si>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</si>
  <si>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</si>
  <si>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</si>
  <si>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</si>
  <si>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</si>
  <si>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</si>
  <si>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</si>
  <si>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</si>
  <si>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</si>
  <si>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BUD</t>
  </si>
  <si>
    <t>ACT</t>
  </si>
  <si>
    <t>vs BUD</t>
  </si>
  <si>
    <t>49900 · Uncategorized Income</t>
  </si>
  <si>
    <t>5150 · Program-related sales</t>
  </si>
  <si>
    <t>5152 · Sponsorships &amp; Advertising</t>
  </si>
  <si>
    <t>5154 · Program-related sales - Other</t>
  </si>
  <si>
    <t>5150 · Program-related sales - Other</t>
  </si>
  <si>
    <t>Total 5150 · Program-related sales</t>
  </si>
  <si>
    <t>5180 · Program Service Fees</t>
  </si>
  <si>
    <t>5182 · Monthly General Program Fees</t>
  </si>
  <si>
    <t>5184 · E-SIG Revenues</t>
  </si>
  <si>
    <t>5185 · Professional Development Events</t>
  </si>
  <si>
    <t>5188 · Career Management Revenues</t>
  </si>
  <si>
    <t>5180 · Program Service Fees - Other</t>
  </si>
  <si>
    <t>Total 5180 · Program Service Fees</t>
  </si>
  <si>
    <t>5200 · Membership</t>
  </si>
  <si>
    <t>All Inc. (200)</t>
  </si>
  <si>
    <t>5210 · Chapter Membership</t>
  </si>
  <si>
    <t>Chapter memberships (Price = 75)</t>
  </si>
  <si>
    <t>Annual (20)</t>
  </si>
  <si>
    <t>5220 · Corporate Memberships</t>
  </si>
  <si>
    <t>Coporate memberships (Price = 60)</t>
  </si>
  <si>
    <t>Corporate (10)</t>
  </si>
  <si>
    <t>5230 · National Memberships</t>
  </si>
  <si>
    <t>National Memberships</t>
  </si>
  <si>
    <t>Renewals based off of 23 ($1,675), added 10% growth</t>
  </si>
  <si>
    <t>5231 · National Dues Remmitted to Natl</t>
  </si>
  <si>
    <t>5200 · Membership - Other</t>
  </si>
  <si>
    <t>[Students:40, Veterans:45]</t>
  </si>
  <si>
    <t>Student (5) &amp; Veteran (5)</t>
  </si>
  <si>
    <t>Total 5200 · Membership</t>
  </si>
  <si>
    <t>5300 · Miscellaneous</t>
  </si>
  <si>
    <t>5310 · Interest - savings/st inv</t>
  </si>
  <si>
    <t>5320 · Interest Income - MM Checking</t>
  </si>
  <si>
    <t>Based off of 23 monthly average</t>
  </si>
  <si>
    <t>5350 · CHIPS Revenue</t>
  </si>
  <si>
    <t>Quarterly revenue  - growth based on 4 year CAGR</t>
  </si>
  <si>
    <t>5360 · Miscellaneous - Other</t>
  </si>
  <si>
    <t>5300 · Miscellaneous - Other</t>
  </si>
  <si>
    <t>Total 5300 · Miscellaneous</t>
  </si>
  <si>
    <t>5330 · Interest  Vystar Club Checking</t>
  </si>
  <si>
    <t>Total Income</t>
  </si>
  <si>
    <t>Expense</t>
  </si>
  <si>
    <t>69800 · Uncategorized Expenses</t>
  </si>
  <si>
    <t>7100 · Programs</t>
  </si>
  <si>
    <t>7120 · E-Sig</t>
  </si>
  <si>
    <t>71201 · Breakfast</t>
  </si>
  <si>
    <t>Total 7120 · E-Sig</t>
  </si>
  <si>
    <t>7122 · Regular Monthly Programs</t>
  </si>
  <si>
    <t>71221 · Meals</t>
  </si>
  <si>
    <t>71222 · Regular Monthly Programs-Other</t>
  </si>
  <si>
    <t>71223 · Speaker Gifts</t>
  </si>
  <si>
    <t>71225 · Supplies, Copies, Name Badges</t>
  </si>
  <si>
    <t>71227 · Speaker &amp; Travel</t>
  </si>
  <si>
    <t>71228 · Transaction Fees</t>
  </si>
  <si>
    <t>Total 7122 · Regular Monthly Programs</t>
  </si>
  <si>
    <t>7126 · Special Events</t>
  </si>
  <si>
    <t>Total 7100 · Programs</t>
  </si>
  <si>
    <t>7123 · Career Management SIG</t>
  </si>
  <si>
    <t>71231 · Meals</t>
  </si>
  <si>
    <t>71234 · Transaction Fees</t>
  </si>
  <si>
    <t>Total 7123 · Career Management SIG</t>
  </si>
  <si>
    <t>7300 · Leadership</t>
  </si>
  <si>
    <t>7310 · Leadership Conferences</t>
  </si>
  <si>
    <t>Leadership + travel</t>
  </si>
  <si>
    <t>1 person budgeted</t>
  </si>
  <si>
    <t>7320 · Miscellaneous Fund</t>
  </si>
  <si>
    <t>7330 · Name Tags</t>
  </si>
  <si>
    <t>7340 · National Dues Subsidies</t>
  </si>
  <si>
    <t>Re-occuring yearly</t>
  </si>
  <si>
    <t>7360 · Advance Planning Sessions</t>
  </si>
  <si>
    <t>Annual strat session - add Meal $</t>
  </si>
  <si>
    <t>7365 · Board and Committee Recognition</t>
  </si>
  <si>
    <t>7366 - Board Memberships</t>
  </si>
  <si>
    <t>Board Memberships</t>
  </si>
  <si>
    <t>Jan (4) &amp; July (1)</t>
  </si>
  <si>
    <t>Total 7300 · Leadership</t>
  </si>
  <si>
    <t>7400 · Information Technologies</t>
  </si>
  <si>
    <t>Laptop and Cables for Presentation</t>
  </si>
  <si>
    <t>7410 · Survey Supplier</t>
  </si>
  <si>
    <t>JOTFORM removed in '24</t>
  </si>
  <si>
    <t>7420 · Technology content services</t>
  </si>
  <si>
    <t>Zoom</t>
  </si>
  <si>
    <t>ZOOM</t>
  </si>
  <si>
    <t>7440 · Web Hosting (Wild Apricot)</t>
  </si>
  <si>
    <t>Wild Apricot</t>
  </si>
  <si>
    <t>WILD APRICOT</t>
  </si>
  <si>
    <t>7470 · Domain Name</t>
  </si>
  <si>
    <t>7480 · Data Storage &amp; Collaboration</t>
  </si>
  <si>
    <t>VISTAS</t>
  </si>
  <si>
    <t>VISTA for 25 paid in Dec '24</t>
  </si>
  <si>
    <t>7400 · Information Technologies - Other</t>
  </si>
  <si>
    <t>New laptop &amp; QB Online (starting Q2)</t>
  </si>
  <si>
    <t>Quickbooks Online (transition in Feb)</t>
  </si>
  <si>
    <t>Total 7400 · Information Technologies</t>
  </si>
  <si>
    <t>7600 · Finance</t>
  </si>
  <si>
    <t>7605 · Administrator</t>
  </si>
  <si>
    <t>76051 · Services</t>
  </si>
  <si>
    <t>Laura's timesheet</t>
  </si>
  <si>
    <t>Laura Mills time</t>
  </si>
  <si>
    <t>76052 · Mileage Reimbursement</t>
  </si>
  <si>
    <t>76053 · Other</t>
  </si>
  <si>
    <t>Total 7605 · Administrator</t>
  </si>
  <si>
    <t>7615 · Accounting</t>
  </si>
  <si>
    <t>76153 · External finance review</t>
  </si>
  <si>
    <t>External Audit</t>
  </si>
  <si>
    <t>Total 7615 · Accounting</t>
  </si>
  <si>
    <t>7635 · Insurance - Liability &amp; D&amp;O</t>
  </si>
  <si>
    <t>Hartford Ins Filing</t>
  </si>
  <si>
    <t>7640 · PO Box Rental Fees</t>
  </si>
  <si>
    <t>PO BOX renewal</t>
  </si>
  <si>
    <t>7650 · State Registration</t>
  </si>
  <si>
    <t>Sunbiz Annual Report / FDAC</t>
  </si>
  <si>
    <t>7660 · Supplies</t>
  </si>
  <si>
    <t>Total 7600 · Finance</t>
  </si>
  <si>
    <t>7700 · Membership Expenses</t>
  </si>
  <si>
    <t>7780 · Transaction Fees</t>
  </si>
  <si>
    <t>7700 · Membership Expenses - Other</t>
  </si>
  <si>
    <t>Total 7700 · Membership Expenses</t>
  </si>
  <si>
    <t>7800 · Professional Development</t>
  </si>
  <si>
    <t>7810 · PD Events</t>
  </si>
  <si>
    <t>781010 · Transaction Fees</t>
  </si>
  <si>
    <t>781011 · PD Events Other</t>
  </si>
  <si>
    <t>PD Other</t>
  </si>
  <si>
    <t>78103 · Meals</t>
  </si>
  <si>
    <t>PD Meals</t>
  </si>
  <si>
    <t>78106 · Facility Rent</t>
  </si>
  <si>
    <t>PD Rental Fees</t>
  </si>
  <si>
    <t>78108 · Speaker Fees</t>
  </si>
  <si>
    <t>78109 · Speaker Travel</t>
  </si>
  <si>
    <t>Total 7810 · PD Events</t>
  </si>
  <si>
    <t>7800 · Professional Development - Other</t>
  </si>
  <si>
    <t>PD Reserve</t>
  </si>
  <si>
    <t>7870 · Professional Certification Fees</t>
  </si>
  <si>
    <t>PD Certifications</t>
  </si>
  <si>
    <t>Total 7800 · Professional Development</t>
  </si>
  <si>
    <t>8000 · Member Involvement</t>
  </si>
  <si>
    <t>8010 · Meals</t>
  </si>
  <si>
    <t>8080 · Membership Involvement - Other</t>
  </si>
  <si>
    <t>Total 8000 · Member Involvement</t>
  </si>
  <si>
    <t>8500 · Miscellaneous Expenses</t>
  </si>
  <si>
    <t>8560 · Miscellaneous Expenses - Other</t>
  </si>
  <si>
    <t>8590 · Other expenses</t>
  </si>
  <si>
    <t>8500 · Miscellaneous Expenses - Other</t>
  </si>
  <si>
    <t>Other Reserve - Cushion for unforseen|uncategorized expenses</t>
  </si>
  <si>
    <t>Cushion for unforeseen expenses</t>
  </si>
  <si>
    <t>Total 8500 · Miscellaneous Expenses</t>
  </si>
  <si>
    <t>Total Expense</t>
  </si>
  <si>
    <t>Net Income</t>
  </si>
  <si>
    <t>KPIS</t>
  </si>
  <si>
    <t>Profit Margin %</t>
  </si>
  <si>
    <t>Modulus for Formula:</t>
  </si>
  <si>
    <t>2025 Chapter Cash Funding by Month</t>
  </si>
  <si>
    <t>ATD NEFL CASHFLOW STATEMENT</t>
  </si>
  <si>
    <t>Cash</t>
  </si>
  <si>
    <t>Business Savings - Ending Balance</t>
  </si>
  <si>
    <t>Club Checking - Starting Balance</t>
  </si>
  <si>
    <t>Club Checking - Loans and Transfers</t>
  </si>
  <si>
    <t>Club Checking - Net Activity</t>
  </si>
  <si>
    <t>Club Checking - Ending Balance</t>
  </si>
  <si>
    <t>Business MM - Starting Balance</t>
  </si>
  <si>
    <t>Business MM - Loans and Transfers</t>
  </si>
  <si>
    <t>Business MM - Net Activity</t>
  </si>
  <si>
    <t>Business MM - Ending Balance</t>
  </si>
  <si>
    <t>Available Funding</t>
  </si>
  <si>
    <t>Cash Runway</t>
  </si>
  <si>
    <t>YTD Month</t>
  </si>
  <si>
    <t>Year</t>
  </si>
  <si>
    <t>2023 Ops Plan</t>
  </si>
  <si>
    <t>BUDGET</t>
  </si>
  <si>
    <t>99 Chapter memberships (99*75)</t>
  </si>
  <si>
    <t>59 Coporate memberships (59*60)</t>
  </si>
  <si>
    <t>5230 · National Membershhips</t>
  </si>
  <si>
    <t>51 Students memberships (51*40)</t>
  </si>
  <si>
    <t>Tech rental fees</t>
  </si>
  <si>
    <t>Membership of Store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</si>
</sst>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2.5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1"/>
      <name val="Calibri"/>
      <family val="2"/>
      <scheme val="minor"/>
    </font>
    <font>
      <b/>
      <sz val="15"/>
      <color rgb="FF000000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u/>
      <sz val="11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000000"/>
      <name val="Calibri"/>
      <family val="2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b/>
      <sz val="11"/>
      <color theme="0"/>
      <name val="Calibri"/>
      <scheme val="minor"/>
    </font>
    <font>
      <i/>
      <sz val="8"/>
      <color theme="1"/>
      <name val="Calibri"/>
      <family val="2"/>
      <scheme val="minor"/>
    </font>
    <font>
      <b/>
      <sz val="11"/>
      <color theme="1"/>
      <name val="Calibri"/>
      <scheme val="minor"/>
    </font>
    <font>
      <i/>
      <u/>
      <sz val="11"/>
      <color theme="1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sz val="12"/>
      <color theme="1"/>
      <name val="Calibri"/>
      <family val="2"/>
    </font>
    <font>
      <b/>
      <sz val="10"/>
      <color theme="1" tint="4.9989318521683403E-2"/>
      <name val="Calibri"/>
      <family val="2"/>
    </font>
    <font>
      <sz val="11"/>
      <color theme="1"/>
      <name val="Calibri"/>
      <family val="2"/>
    </font>
    <font>
      <b/>
      <sz val="12"/>
      <color theme="0"/>
      <name val="Calibri"/>
      <family val="2"/>
    </font>
    <font>
      <sz val="10"/>
      <color theme="1" tint="4.9989318521683403E-2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theme="1"/>
      <name val="Calibri"/>
      <family val="2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b/>
      <u/>
      <sz val="11"/>
      <color theme="1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4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0" borderId="0">
      <alignment vertical="top"/>
    </xf>
    <xf numFmtId="0" fontId="21" fillId="0" borderId="0"/>
    <xf numFmtId="9" fontId="1" fillId="0" borderId="0" applyFont="0" applyFill="0" applyBorder="0" applyAlignment="0" applyProtection="0"/>
  </cellStyleXfs>
  <cellXfs count="279">
    <xf numFmtId="0" fontId="0" fillId="0" borderId="0" xfId="0"/>
    <xf numFmtId="0" fontId="16" fillId="36" borderId="14" xfId="0" applyFont="1" applyFill="1" applyBorder="1"/>
    <xf numFmtId="164" fontId="0" fillId="34" borderId="14" xfId="1" applyNumberFormat="1" applyFont="1" applyFill="1" applyBorder="1"/>
    <xf numFmtId="164" fontId="0" fillId="34" borderId="0" xfId="1" applyNumberFormat="1" applyFont="1" applyFill="1" applyBorder="1"/>
    <xf numFmtId="164" fontId="0" fillId="34" borderId="15" xfId="1" applyNumberFormat="1" applyFont="1" applyFill="1" applyBorder="1"/>
    <xf numFmtId="164" fontId="0" fillId="0" borderId="14" xfId="1" applyNumberFormat="1" applyFont="1" applyBorder="1"/>
    <xf numFmtId="164" fontId="0" fillId="0" borderId="0" xfId="1" applyNumberFormat="1" applyFont="1" applyBorder="1"/>
    <xf numFmtId="164" fontId="0" fillId="0" borderId="15" xfId="1" applyNumberFormat="1" applyFont="1" applyBorder="1"/>
    <xf numFmtId="164" fontId="16" fillId="36" borderId="14" xfId="1" applyNumberFormat="1" applyFont="1" applyFill="1" applyBorder="1"/>
    <xf numFmtId="164" fontId="16" fillId="36" borderId="0" xfId="1" applyNumberFormat="1" applyFont="1" applyFill="1" applyBorder="1"/>
    <xf numFmtId="164" fontId="16" fillId="36" borderId="15" xfId="1" applyNumberFormat="1" applyFont="1" applyFill="1" applyBorder="1"/>
    <xf numFmtId="0" fontId="13" fillId="33" borderId="16" xfId="0" applyFont="1" applyFill="1" applyBorder="1"/>
    <xf numFmtId="0" fontId="0" fillId="34" borderId="14" xfId="0" applyFill="1" applyBorder="1"/>
    <xf numFmtId="0" fontId="0" fillId="0" borderId="14" xfId="0" applyBorder="1"/>
    <xf numFmtId="164" fontId="13" fillId="33" borderId="16" xfId="1" applyNumberFormat="1" applyFont="1" applyFill="1" applyBorder="1"/>
    <xf numFmtId="164" fontId="13" fillId="33" borderId="17" xfId="1" applyNumberFormat="1" applyFont="1" applyFill="1" applyBorder="1"/>
    <xf numFmtId="164" fontId="13" fillId="33" borderId="18" xfId="1" applyNumberFormat="1" applyFont="1" applyFill="1" applyBorder="1"/>
    <xf numFmtId="0" fontId="16" fillId="35" borderId="19" xfId="0" applyFont="1" applyFill="1" applyBorder="1"/>
    <xf numFmtId="164" fontId="16" fillId="35" borderId="19" xfId="1" applyNumberFormat="1" applyFont="1" applyFill="1" applyBorder="1"/>
    <xf numFmtId="164" fontId="16" fillId="35" borderId="20" xfId="1" applyNumberFormat="1" applyFont="1" applyFill="1" applyBorder="1"/>
    <xf numFmtId="164" fontId="16" fillId="35" borderId="21" xfId="1" applyNumberFormat="1" applyFont="1" applyFill="1" applyBorder="1"/>
    <xf numFmtId="0" fontId="19" fillId="0" borderId="11" xfId="0" applyFont="1" applyBorder="1"/>
    <xf numFmtId="0" fontId="19" fillId="0" borderId="0" xfId="0" applyFont="1"/>
    <xf numFmtId="0" fontId="20" fillId="0" borderId="14" xfId="0" applyFont="1" applyBorder="1" applyAlignment="1">
      <alignment horizontal="center"/>
    </xf>
    <xf numFmtId="0" fontId="20" fillId="0" borderId="0" xfId="0" applyFont="1" applyAlignment="1">
      <alignment horizontal="center"/>
    </xf>
    <xf numFmtId="164" fontId="0" fillId="0" borderId="0" xfId="0" applyNumberFormat="1"/>
    <xf numFmtId="164" fontId="16" fillId="36" borderId="23" xfId="1" applyNumberFormat="1" applyFont="1" applyFill="1" applyBorder="1"/>
    <xf numFmtId="164" fontId="0" fillId="34" borderId="23" xfId="1" applyNumberFormat="1" applyFont="1" applyFill="1" applyBorder="1"/>
    <xf numFmtId="164" fontId="0" fillId="0" borderId="23" xfId="1" applyNumberFormat="1" applyFont="1" applyBorder="1"/>
    <xf numFmtId="164" fontId="16" fillId="35" borderId="10" xfId="1" applyNumberFormat="1" applyFont="1" applyFill="1" applyBorder="1"/>
    <xf numFmtId="164" fontId="13" fillId="33" borderId="22" xfId="1" applyNumberFormat="1" applyFont="1" applyFill="1" applyBorder="1"/>
    <xf numFmtId="0" fontId="20" fillId="0" borderId="16" xfId="0" applyFont="1" applyBorder="1" applyAlignment="1">
      <alignment horizontal="center"/>
    </xf>
    <xf numFmtId="0" fontId="20" fillId="0" borderId="17" xfId="0" applyFont="1" applyBorder="1" applyAlignment="1">
      <alignment horizontal="center"/>
    </xf>
    <xf numFmtId="43" fontId="0" fillId="0" borderId="0" xfId="0" applyNumberFormat="1"/>
    <xf numFmtId="0" fontId="0" fillId="37" borderId="0" xfId="0" applyFill="1"/>
    <xf numFmtId="164" fontId="0" fillId="0" borderId="14" xfId="1" applyNumberFormat="1" applyFont="1" applyFill="1" applyBorder="1"/>
    <xf numFmtId="0" fontId="13" fillId="37" borderId="0" xfId="0" applyFont="1" applyFill="1"/>
    <xf numFmtId="164" fontId="0" fillId="0" borderId="15" xfId="1" applyNumberFormat="1" applyFont="1" applyFill="1" applyBorder="1"/>
    <xf numFmtId="164" fontId="0" fillId="0" borderId="0" xfId="1" applyNumberFormat="1" applyFont="1"/>
    <xf numFmtId="0" fontId="20" fillId="0" borderId="11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164" fontId="13" fillId="37" borderId="0" xfId="0" applyNumberFormat="1" applyFont="1" applyFill="1"/>
    <xf numFmtId="0" fontId="22" fillId="0" borderId="0" xfId="0" applyFont="1"/>
    <xf numFmtId="0" fontId="23" fillId="0" borderId="0" xfId="0" applyFont="1"/>
    <xf numFmtId="164" fontId="0" fillId="39" borderId="14" xfId="1" applyNumberFormat="1" applyFont="1" applyFill="1" applyBorder="1"/>
    <xf numFmtId="164" fontId="0" fillId="39" borderId="0" xfId="1" applyNumberFormat="1" applyFont="1" applyFill="1" applyBorder="1"/>
    <xf numFmtId="164" fontId="0" fillId="39" borderId="15" xfId="1" applyNumberFormat="1" applyFont="1" applyFill="1" applyBorder="1"/>
    <xf numFmtId="0" fontId="22" fillId="39" borderId="0" xfId="0" applyFont="1" applyFill="1"/>
    <xf numFmtId="0" fontId="20" fillId="39" borderId="0" xfId="0" applyFont="1" applyFill="1" applyAlignment="1">
      <alignment horizontal="center"/>
    </xf>
    <xf numFmtId="164" fontId="16" fillId="39" borderId="0" xfId="1" applyNumberFormat="1" applyFont="1" applyFill="1" applyBorder="1"/>
    <xf numFmtId="164" fontId="13" fillId="39" borderId="0" xfId="1" applyNumberFormat="1" applyFont="1" applyFill="1" applyBorder="1"/>
    <xf numFmtId="0" fontId="0" fillId="39" borderId="0" xfId="0" applyFill="1"/>
    <xf numFmtId="164" fontId="17" fillId="39" borderId="0" xfId="1" applyNumberFormat="1" applyFont="1" applyFill="1" applyBorder="1"/>
    <xf numFmtId="0" fontId="20" fillId="0" borderId="19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38" borderId="19" xfId="0" applyFont="1" applyFill="1" applyBorder="1"/>
    <xf numFmtId="164" fontId="0" fillId="34" borderId="25" xfId="1" applyNumberFormat="1" applyFont="1" applyFill="1" applyBorder="1" applyAlignment="1">
      <alignment horizontal="center"/>
    </xf>
    <xf numFmtId="164" fontId="0" fillId="34" borderId="26" xfId="1" applyNumberFormat="1" applyFont="1" applyFill="1" applyBorder="1" applyAlignment="1">
      <alignment horizontal="center"/>
    </xf>
    <xf numFmtId="164" fontId="0" fillId="34" borderId="27" xfId="1" applyNumberFormat="1" applyFont="1" applyFill="1" applyBorder="1" applyAlignment="1">
      <alignment horizontal="center"/>
    </xf>
    <xf numFmtId="164" fontId="0" fillId="40" borderId="28" xfId="1" applyNumberFormat="1" applyFont="1" applyFill="1" applyBorder="1" applyAlignment="1">
      <alignment horizontal="center"/>
    </xf>
    <xf numFmtId="164" fontId="0" fillId="0" borderId="29" xfId="1" applyNumberFormat="1" applyFont="1" applyBorder="1" applyAlignment="1">
      <alignment horizontal="center"/>
    </xf>
    <xf numFmtId="164" fontId="0" fillId="0" borderId="30" xfId="1" applyNumberFormat="1" applyFont="1" applyBorder="1" applyAlignment="1">
      <alignment horizontal="center"/>
    </xf>
    <xf numFmtId="164" fontId="0" fillId="0" borderId="29" xfId="1" applyNumberFormat="1" applyFont="1" applyFill="1" applyBorder="1" applyAlignment="1">
      <alignment horizontal="center"/>
    </xf>
    <xf numFmtId="164" fontId="0" fillId="0" borderId="30" xfId="1" applyNumberFormat="1" applyFont="1" applyFill="1" applyBorder="1" applyAlignment="1">
      <alignment horizontal="center"/>
    </xf>
    <xf numFmtId="164" fontId="0" fillId="34" borderId="28" xfId="1" applyNumberFormat="1" applyFont="1" applyFill="1" applyBorder="1" applyAlignment="1">
      <alignment horizontal="center"/>
    </xf>
    <xf numFmtId="164" fontId="0" fillId="34" borderId="29" xfId="1" applyNumberFormat="1" applyFont="1" applyFill="1" applyBorder="1" applyAlignment="1">
      <alignment horizontal="center"/>
    </xf>
    <xf numFmtId="164" fontId="0" fillId="34" borderId="30" xfId="1" applyNumberFormat="1" applyFont="1" applyFill="1" applyBorder="1" applyAlignment="1">
      <alignment horizontal="center"/>
    </xf>
    <xf numFmtId="164" fontId="0" fillId="39" borderId="29" xfId="1" applyNumberFormat="1" applyFont="1" applyFill="1" applyBorder="1" applyAlignment="1">
      <alignment horizontal="center"/>
    </xf>
    <xf numFmtId="164" fontId="0" fillId="39" borderId="30" xfId="1" applyNumberFormat="1" applyFont="1" applyFill="1" applyBorder="1" applyAlignment="1">
      <alignment horizontal="center"/>
    </xf>
    <xf numFmtId="164" fontId="13" fillId="38" borderId="28" xfId="1" applyNumberFormat="1" applyFont="1" applyFill="1" applyBorder="1" applyAlignment="1">
      <alignment horizontal="center"/>
    </xf>
    <xf numFmtId="164" fontId="13" fillId="38" borderId="29" xfId="1" applyNumberFormat="1" applyFont="1" applyFill="1" applyBorder="1" applyAlignment="1">
      <alignment horizontal="center"/>
    </xf>
    <xf numFmtId="164" fontId="13" fillId="38" borderId="30" xfId="1" applyNumberFormat="1" applyFont="1" applyFill="1" applyBorder="1" applyAlignment="1">
      <alignment horizontal="center"/>
    </xf>
    <xf numFmtId="164" fontId="16" fillId="36" borderId="28" xfId="1" applyNumberFormat="1" applyFont="1" applyFill="1" applyBorder="1" applyAlignment="1">
      <alignment horizontal="center"/>
    </xf>
    <xf numFmtId="164" fontId="16" fillId="36" borderId="29" xfId="1" applyNumberFormat="1" applyFont="1" applyFill="1" applyBorder="1" applyAlignment="1">
      <alignment horizontal="center"/>
    </xf>
    <xf numFmtId="164" fontId="16" fillId="36" borderId="30" xfId="1" applyNumberFormat="1" applyFont="1" applyFill="1" applyBorder="1" applyAlignment="1">
      <alignment horizontal="center"/>
    </xf>
    <xf numFmtId="164" fontId="16" fillId="35" borderId="28" xfId="1" applyNumberFormat="1" applyFont="1" applyFill="1" applyBorder="1" applyAlignment="1">
      <alignment horizontal="center"/>
    </xf>
    <xf numFmtId="164" fontId="16" fillId="35" borderId="29" xfId="1" applyNumberFormat="1" applyFont="1" applyFill="1" applyBorder="1" applyAlignment="1">
      <alignment horizontal="center"/>
    </xf>
    <xf numFmtId="164" fontId="16" fillId="35" borderId="30" xfId="1" applyNumberFormat="1" applyFont="1" applyFill="1" applyBorder="1" applyAlignment="1">
      <alignment horizontal="center"/>
    </xf>
    <xf numFmtId="0" fontId="13" fillId="33" borderId="14" xfId="0" applyFont="1" applyFill="1" applyBorder="1"/>
    <xf numFmtId="164" fontId="13" fillId="33" borderId="11" xfId="1" applyNumberFormat="1" applyFont="1" applyFill="1" applyBorder="1" applyAlignment="1">
      <alignment horizontal="center"/>
    </xf>
    <xf numFmtId="164" fontId="13" fillId="33" borderId="12" xfId="1" applyNumberFormat="1" applyFont="1" applyFill="1" applyBorder="1" applyAlignment="1">
      <alignment horizontal="center"/>
    </xf>
    <xf numFmtId="164" fontId="13" fillId="33" borderId="13" xfId="1" applyNumberFormat="1" applyFont="1" applyFill="1" applyBorder="1" applyAlignment="1">
      <alignment horizontal="center"/>
    </xf>
    <xf numFmtId="164" fontId="13" fillId="33" borderId="23" xfId="1" applyNumberFormat="1" applyFont="1" applyFill="1" applyBorder="1" applyAlignment="1">
      <alignment horizontal="center"/>
    </xf>
    <xf numFmtId="164" fontId="13" fillId="33" borderId="15" xfId="1" applyNumberFormat="1" applyFont="1" applyFill="1" applyBorder="1" applyAlignment="1">
      <alignment horizontal="center"/>
    </xf>
    <xf numFmtId="0" fontId="20" fillId="0" borderId="10" xfId="0" applyFont="1" applyBorder="1" applyAlignment="1">
      <alignment horizontal="centerContinuous"/>
    </xf>
    <xf numFmtId="164" fontId="0" fillId="0" borderId="28" xfId="1" applyNumberFormat="1" applyFont="1" applyBorder="1" applyAlignment="1">
      <alignment horizontal="center"/>
    </xf>
    <xf numFmtId="164" fontId="13" fillId="38" borderId="30" xfId="1" applyNumberFormat="1" applyFont="1" applyFill="1" applyBorder="1" applyAlignment="1">
      <alignment horizontal="left"/>
    </xf>
    <xf numFmtId="0" fontId="24" fillId="0" borderId="0" xfId="0" applyFont="1"/>
    <xf numFmtId="0" fontId="16" fillId="0" borderId="0" xfId="0" applyFont="1"/>
    <xf numFmtId="0" fontId="0" fillId="33" borderId="0" xfId="0" applyFill="1"/>
    <xf numFmtId="0" fontId="13" fillId="33" borderId="0" xfId="0" applyFont="1" applyFill="1" applyAlignment="1">
      <alignment horizontal="center"/>
    </xf>
    <xf numFmtId="0" fontId="25" fillId="0" borderId="0" xfId="0" applyFont="1"/>
    <xf numFmtId="0" fontId="26" fillId="0" borderId="0" xfId="0" applyFont="1"/>
    <xf numFmtId="16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0" applyFont="1"/>
    <xf numFmtId="164" fontId="27" fillId="41" borderId="0" xfId="0" applyNumberFormat="1" applyFont="1" applyFill="1" applyAlignment="1">
      <alignment horizontal="center"/>
    </xf>
    <xf numFmtId="0" fontId="27" fillId="41" borderId="0" xfId="0" applyFont="1" applyFill="1" applyAlignment="1">
      <alignment horizontal="center" wrapText="1"/>
    </xf>
    <xf numFmtId="0" fontId="20" fillId="0" borderId="34" xfId="0" applyFont="1" applyBorder="1" applyAlignment="1">
      <alignment horizontal="center"/>
    </xf>
    <xf numFmtId="0" fontId="20" fillId="0" borderId="35" xfId="0" applyFont="1" applyBorder="1" applyAlignment="1">
      <alignment horizontal="center"/>
    </xf>
    <xf numFmtId="164" fontId="13" fillId="33" borderId="36" xfId="1" applyNumberFormat="1" applyFont="1" applyFill="1" applyBorder="1" applyAlignment="1">
      <alignment horizontal="center"/>
    </xf>
    <xf numFmtId="164" fontId="13" fillId="33" borderId="37" xfId="1" applyNumberFormat="1" applyFont="1" applyFill="1" applyBorder="1" applyAlignment="1">
      <alignment horizontal="center"/>
    </xf>
    <xf numFmtId="164" fontId="0" fillId="40" borderId="40" xfId="1" applyNumberFormat="1" applyFont="1" applyFill="1" applyBorder="1" applyAlignment="1">
      <alignment horizontal="center"/>
    </xf>
    <xf numFmtId="0" fontId="19" fillId="0" borderId="46" xfId="0" applyFont="1" applyBorder="1"/>
    <xf numFmtId="0" fontId="20" fillId="0" borderId="47" xfId="0" applyFont="1" applyBorder="1" applyAlignment="1">
      <alignment horizontal="center"/>
    </xf>
    <xf numFmtId="0" fontId="13" fillId="33" borderId="47" xfId="0" applyFont="1" applyFill="1" applyBorder="1"/>
    <xf numFmtId="0" fontId="0" fillId="34" borderId="47" xfId="0" applyFill="1" applyBorder="1"/>
    <xf numFmtId="0" fontId="0" fillId="0" borderId="47" xfId="0" applyBorder="1"/>
    <xf numFmtId="0" fontId="13" fillId="33" borderId="48" xfId="0" applyFont="1" applyFill="1" applyBorder="1"/>
    <xf numFmtId="3" fontId="28" fillId="0" borderId="0" xfId="0" applyNumberFormat="1" applyFont="1"/>
    <xf numFmtId="0" fontId="0" fillId="42" borderId="0" xfId="0" applyFill="1" applyAlignment="1">
      <alignment horizontal="right"/>
    </xf>
    <xf numFmtId="0" fontId="13" fillId="43" borderId="0" xfId="0" applyFont="1" applyFill="1"/>
    <xf numFmtId="164" fontId="13" fillId="33" borderId="50" xfId="1" applyNumberFormat="1" applyFont="1" applyFill="1" applyBorder="1" applyAlignment="1">
      <alignment horizontal="center"/>
    </xf>
    <xf numFmtId="164" fontId="13" fillId="33" borderId="51" xfId="1" applyNumberFormat="1" applyFont="1" applyFill="1" applyBorder="1" applyAlignment="1">
      <alignment horizontal="center"/>
    </xf>
    <xf numFmtId="164" fontId="13" fillId="33" borderId="52" xfId="1" applyNumberFormat="1" applyFont="1" applyFill="1" applyBorder="1" applyAlignment="1">
      <alignment horizontal="center"/>
    </xf>
    <xf numFmtId="0" fontId="29" fillId="42" borderId="0" xfId="0" applyFont="1" applyFill="1" applyAlignment="1">
      <alignment horizontal="right"/>
    </xf>
    <xf numFmtId="9" fontId="29" fillId="42" borderId="0" xfId="0" applyNumberFormat="1" applyFont="1" applyFill="1" applyAlignment="1">
      <alignment horizontal="right"/>
    </xf>
    <xf numFmtId="164" fontId="0" fillId="34" borderId="30" xfId="1" applyNumberFormat="1" applyFont="1" applyFill="1" applyBorder="1" applyAlignment="1">
      <alignment horizontal="center" vertical="center" wrapText="1"/>
    </xf>
    <xf numFmtId="164" fontId="0" fillId="42" borderId="0" xfId="0" applyNumberFormat="1" applyFill="1" applyAlignment="1">
      <alignment horizontal="center"/>
    </xf>
    <xf numFmtId="43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22" fillId="44" borderId="0" xfId="0" applyFont="1" applyFill="1"/>
    <xf numFmtId="0" fontId="0" fillId="44" borderId="0" xfId="0" applyFill="1"/>
    <xf numFmtId="0" fontId="23" fillId="44" borderId="0" xfId="0" applyFont="1" applyFill="1"/>
    <xf numFmtId="0" fontId="24" fillId="44" borderId="0" xfId="0" applyFont="1" applyFill="1"/>
    <xf numFmtId="0" fontId="0" fillId="44" borderId="0" xfId="0" applyFill="1" applyAlignment="1">
      <alignment horizontal="center"/>
    </xf>
    <xf numFmtId="164" fontId="0" fillId="44" borderId="0" xfId="0" applyNumberFormat="1" applyFill="1"/>
    <xf numFmtId="0" fontId="31" fillId="44" borderId="0" xfId="0" applyFont="1" applyFill="1"/>
    <xf numFmtId="164" fontId="31" fillId="44" borderId="0" xfId="0" applyNumberFormat="1" applyFont="1" applyFill="1"/>
    <xf numFmtId="3" fontId="0" fillId="44" borderId="0" xfId="0" applyNumberFormat="1" applyFill="1"/>
    <xf numFmtId="3" fontId="0" fillId="44" borderId="0" xfId="0" applyNumberFormat="1" applyFill="1" applyAlignment="1">
      <alignment horizontal="center"/>
    </xf>
    <xf numFmtId="0" fontId="31" fillId="44" borderId="0" xfId="0" applyFont="1" applyFill="1" applyAlignment="1">
      <alignment horizontal="right"/>
    </xf>
    <xf numFmtId="1" fontId="31" fillId="44" borderId="0" xfId="0" applyNumberFormat="1" applyFont="1" applyFill="1"/>
    <xf numFmtId="1" fontId="31" fillId="44" borderId="0" xfId="0" applyNumberFormat="1" applyFont="1" applyFill="1" applyAlignment="1">
      <alignment horizontal="right"/>
    </xf>
    <xf numFmtId="1" fontId="0" fillId="44" borderId="0" xfId="0" applyNumberFormat="1" applyFill="1"/>
    <xf numFmtId="3" fontId="0" fillId="44" borderId="0" xfId="0" applyNumberFormat="1" applyFill="1" applyAlignment="1">
      <alignment horizontal="right"/>
    </xf>
    <xf numFmtId="0" fontId="17" fillId="33" borderId="0" xfId="0" applyFont="1" applyFill="1"/>
    <xf numFmtId="0" fontId="17" fillId="33" borderId="0" xfId="0" applyFont="1" applyFill="1" applyAlignment="1">
      <alignment horizontal="center"/>
    </xf>
    <xf numFmtId="0" fontId="13" fillId="33" borderId="0" xfId="0" applyFont="1" applyFill="1"/>
    <xf numFmtId="0" fontId="32" fillId="33" borderId="0" xfId="0" applyFont="1" applyFill="1"/>
    <xf numFmtId="0" fontId="16" fillId="36" borderId="0" xfId="0" applyFont="1" applyFill="1" applyAlignment="1">
      <alignment horizontal="right"/>
    </xf>
    <xf numFmtId="164" fontId="0" fillId="44" borderId="0" xfId="0" applyNumberFormat="1" applyFill="1" applyAlignment="1">
      <alignment horizontal="center"/>
    </xf>
    <xf numFmtId="0" fontId="16" fillId="45" borderId="0" xfId="0" applyFont="1" applyFill="1" applyAlignment="1">
      <alignment horizontal="right"/>
    </xf>
    <xf numFmtId="164" fontId="16" fillId="45" borderId="0" xfId="0" applyNumberFormat="1" applyFont="1" applyFill="1"/>
    <xf numFmtId="3" fontId="16" fillId="36" borderId="0" xfId="0" applyNumberFormat="1" applyFont="1" applyFill="1"/>
    <xf numFmtId="0" fontId="33" fillId="44" borderId="0" xfId="0" applyFont="1" applyFill="1"/>
    <xf numFmtId="9" fontId="30" fillId="44" borderId="0" xfId="0" applyNumberFormat="1" applyFont="1" applyFill="1"/>
    <xf numFmtId="0" fontId="13" fillId="46" borderId="0" xfId="0" applyFont="1" applyFill="1"/>
    <xf numFmtId="0" fontId="17" fillId="46" borderId="0" xfId="0" applyFont="1" applyFill="1" applyAlignment="1">
      <alignment horizontal="center"/>
    </xf>
    <xf numFmtId="0" fontId="0" fillId="44" borderId="53" xfId="0" applyFill="1" applyBorder="1"/>
    <xf numFmtId="0" fontId="0" fillId="44" borderId="53" xfId="0" applyFill="1" applyBorder="1" applyAlignment="1">
      <alignment horizontal="right"/>
    </xf>
    <xf numFmtId="0" fontId="17" fillId="46" borderId="53" xfId="0" applyFont="1" applyFill="1" applyBorder="1" applyAlignment="1">
      <alignment horizontal="center"/>
    </xf>
    <xf numFmtId="0" fontId="0" fillId="36" borderId="53" xfId="0" applyFill="1" applyBorder="1"/>
    <xf numFmtId="0" fontId="17" fillId="33" borderId="53" xfId="0" applyFont="1" applyFill="1" applyBorder="1"/>
    <xf numFmtId="0" fontId="0" fillId="45" borderId="53" xfId="0" applyFill="1" applyBorder="1"/>
    <xf numFmtId="0" fontId="0" fillId="33" borderId="53" xfId="0" applyFill="1" applyBorder="1" applyAlignment="1">
      <alignment horizontal="center"/>
    </xf>
    <xf numFmtId="0" fontId="34" fillId="46" borderId="0" xfId="0" applyFont="1" applyFill="1" applyAlignment="1">
      <alignment horizontal="right"/>
    </xf>
    <xf numFmtId="164" fontId="16" fillId="46" borderId="0" xfId="0" applyNumberFormat="1" applyFont="1" applyFill="1"/>
    <xf numFmtId="164" fontId="16" fillId="46" borderId="0" xfId="0" applyNumberFormat="1" applyFont="1" applyFill="1" applyAlignment="1">
      <alignment horizontal="center"/>
    </xf>
    <xf numFmtId="164" fontId="16" fillId="46" borderId="53" xfId="0" applyNumberFormat="1" applyFont="1" applyFill="1" applyBorder="1"/>
    <xf numFmtId="9" fontId="33" fillId="44" borderId="0" xfId="0" applyNumberFormat="1" applyFont="1" applyFill="1"/>
    <xf numFmtId="0" fontId="33" fillId="44" borderId="53" xfId="0" applyFont="1" applyFill="1" applyBorder="1" applyAlignment="1">
      <alignment horizontal="center"/>
    </xf>
    <xf numFmtId="9" fontId="0" fillId="44" borderId="0" xfId="0" applyNumberFormat="1" applyFill="1"/>
    <xf numFmtId="164" fontId="35" fillId="44" borderId="0" xfId="0" applyNumberFormat="1" applyFont="1" applyFill="1"/>
    <xf numFmtId="0" fontId="36" fillId="44" borderId="53" xfId="0" applyFont="1" applyFill="1" applyBorder="1" applyAlignment="1">
      <alignment horizontal="left"/>
    </xf>
    <xf numFmtId="0" fontId="31" fillId="44" borderId="53" xfId="0" applyFont="1" applyFill="1" applyBorder="1" applyAlignment="1">
      <alignment horizontal="center"/>
    </xf>
    <xf numFmtId="0" fontId="31" fillId="44" borderId="0" xfId="0" applyFont="1" applyFill="1" applyAlignment="1">
      <alignment horizontal="right" indent="2"/>
    </xf>
    <xf numFmtId="0" fontId="16" fillId="36" borderId="0" xfId="0" applyFont="1" applyFill="1"/>
    <xf numFmtId="164" fontId="16" fillId="36" borderId="0" xfId="0" applyNumberFormat="1" applyFont="1" applyFill="1"/>
    <xf numFmtId="43" fontId="0" fillId="0" borderId="30" xfId="1" applyFont="1" applyBorder="1" applyAlignment="1">
      <alignment horizontal="center"/>
    </xf>
    <xf numFmtId="9" fontId="0" fillId="0" borderId="0" xfId="0" applyNumberFormat="1" applyAlignment="1">
      <alignment horizontal="center"/>
    </xf>
    <xf numFmtId="0" fontId="33" fillId="44" borderId="0" xfId="0" applyFont="1" applyFill="1" applyAlignment="1">
      <alignment horizontal="right"/>
    </xf>
    <xf numFmtId="164" fontId="0" fillId="40" borderId="28" xfId="1" applyNumberFormat="1" applyFont="1" applyFill="1" applyBorder="1" applyAlignment="1">
      <alignment horizontal="center" wrapText="1"/>
    </xf>
    <xf numFmtId="164" fontId="13" fillId="33" borderId="43" xfId="1" applyNumberFormat="1" applyFont="1" applyFill="1" applyBorder="1" applyAlignment="1">
      <alignment horizontal="center"/>
    </xf>
    <xf numFmtId="164" fontId="13" fillId="33" borderId="49" xfId="1" applyNumberFormat="1" applyFont="1" applyFill="1" applyBorder="1" applyAlignment="1">
      <alignment horizontal="center"/>
    </xf>
    <xf numFmtId="43" fontId="16" fillId="35" borderId="30" xfId="1" applyFont="1" applyFill="1" applyBorder="1" applyAlignment="1">
      <alignment horizontal="center"/>
    </xf>
    <xf numFmtId="43" fontId="0" fillId="0" borderId="30" xfId="1" applyFont="1" applyFill="1" applyBorder="1" applyAlignment="1">
      <alignment horizontal="center"/>
    </xf>
    <xf numFmtId="0" fontId="37" fillId="0" borderId="0" xfId="0" applyFont="1"/>
    <xf numFmtId="0" fontId="38" fillId="0" borderId="54" xfId="0" applyFont="1" applyBorder="1" applyAlignment="1">
      <alignment wrapText="1"/>
    </xf>
    <xf numFmtId="0" fontId="39" fillId="0" borderId="0" xfId="0" applyFont="1"/>
    <xf numFmtId="0" fontId="38" fillId="0" borderId="57" xfId="0" quotePrefix="1" applyFont="1" applyBorder="1" applyAlignment="1">
      <alignment horizontal="center" vertical="center" wrapText="1"/>
    </xf>
    <xf numFmtId="164" fontId="39" fillId="0" borderId="0" xfId="0" applyNumberFormat="1" applyFont="1"/>
    <xf numFmtId="164" fontId="42" fillId="45" borderId="0" xfId="1" applyNumberFormat="1" applyFont="1" applyFill="1" applyBorder="1"/>
    <xf numFmtId="164" fontId="43" fillId="45" borderId="0" xfId="1" applyNumberFormat="1" applyFont="1" applyFill="1" applyBorder="1"/>
    <xf numFmtId="164" fontId="41" fillId="45" borderId="0" xfId="1" applyNumberFormat="1" applyFont="1" applyFill="1" applyBorder="1"/>
    <xf numFmtId="165" fontId="44" fillId="42" borderId="17" xfId="45" applyNumberFormat="1" applyFont="1" applyFill="1" applyBorder="1"/>
    <xf numFmtId="0" fontId="43" fillId="0" borderId="0" xfId="0" applyFont="1"/>
    <xf numFmtId="164" fontId="43" fillId="0" borderId="0" xfId="0" applyNumberFormat="1" applyFont="1"/>
    <xf numFmtId="0" fontId="38" fillId="44" borderId="54" xfId="0" applyFont="1" applyFill="1" applyBorder="1" applyAlignment="1">
      <alignment wrapText="1"/>
    </xf>
    <xf numFmtId="164" fontId="42" fillId="44" borderId="0" xfId="1" applyNumberFormat="1" applyFont="1" applyFill="1" applyBorder="1"/>
    <xf numFmtId="164" fontId="43" fillId="44" borderId="0" xfId="1" applyNumberFormat="1" applyFont="1" applyFill="1" applyBorder="1"/>
    <xf numFmtId="164" fontId="41" fillId="44" borderId="0" xfId="1" applyNumberFormat="1" applyFont="1" applyFill="1" applyBorder="1"/>
    <xf numFmtId="165" fontId="44" fillId="44" borderId="0" xfId="45" applyNumberFormat="1" applyFont="1" applyFill="1" applyBorder="1"/>
    <xf numFmtId="0" fontId="38" fillId="0" borderId="60" xfId="0" applyFont="1" applyBorder="1" applyAlignment="1">
      <alignment horizontal="center" vertical="center" wrapText="1"/>
    </xf>
    <xf numFmtId="164" fontId="43" fillId="0" borderId="47" xfId="1" applyNumberFormat="1" applyFont="1" applyBorder="1" applyAlignment="1">
      <alignment horizontal="center"/>
    </xf>
    <xf numFmtId="165" fontId="44" fillId="42" borderId="61" xfId="45" applyNumberFormat="1" applyFont="1" applyFill="1" applyBorder="1" applyAlignment="1">
      <alignment horizontal="center"/>
    </xf>
    <xf numFmtId="164" fontId="45" fillId="33" borderId="48" xfId="0" applyNumberFormat="1" applyFont="1" applyFill="1" applyBorder="1" applyAlignment="1">
      <alignment horizontal="center"/>
    </xf>
    <xf numFmtId="164" fontId="45" fillId="33" borderId="58" xfId="0" applyNumberFormat="1" applyFont="1" applyFill="1" applyBorder="1" applyAlignment="1">
      <alignment horizontal="center"/>
    </xf>
    <xf numFmtId="0" fontId="38" fillId="0" borderId="63" xfId="0" quotePrefix="1" applyFont="1" applyBorder="1" applyAlignment="1">
      <alignment horizontal="center" vertical="center" wrapText="1"/>
    </xf>
    <xf numFmtId="164" fontId="42" fillId="45" borderId="64" xfId="1" applyNumberFormat="1" applyFont="1" applyFill="1" applyBorder="1"/>
    <xf numFmtId="164" fontId="43" fillId="45" borderId="64" xfId="1" applyNumberFormat="1" applyFont="1" applyFill="1" applyBorder="1"/>
    <xf numFmtId="164" fontId="41" fillId="45" borderId="64" xfId="1" applyNumberFormat="1" applyFont="1" applyFill="1" applyBorder="1"/>
    <xf numFmtId="165" fontId="44" fillId="42" borderId="65" xfId="45" applyNumberFormat="1" applyFont="1" applyFill="1" applyBorder="1"/>
    <xf numFmtId="0" fontId="46" fillId="33" borderId="62" xfId="0" applyFont="1" applyFill="1" applyBorder="1" applyAlignment="1">
      <alignment horizontal="center" wrapText="1"/>
    </xf>
    <xf numFmtId="9" fontId="38" fillId="44" borderId="0" xfId="45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9" fontId="38" fillId="0" borderId="0" xfId="45" applyFont="1" applyFill="1" applyBorder="1" applyAlignment="1">
      <alignment horizontal="center" vertical="center" wrapText="1"/>
    </xf>
    <xf numFmtId="0" fontId="38" fillId="0" borderId="66" xfId="0" quotePrefix="1" applyFont="1" applyBorder="1" applyAlignment="1">
      <alignment horizontal="center" vertical="center" wrapText="1"/>
    </xf>
    <xf numFmtId="164" fontId="42" fillId="0" borderId="67" xfId="1" applyNumberFormat="1" applyFont="1" applyBorder="1"/>
    <xf numFmtId="164" fontId="41" fillId="0" borderId="67" xfId="1" applyNumberFormat="1" applyFont="1" applyFill="1" applyBorder="1"/>
    <xf numFmtId="164" fontId="38" fillId="0" borderId="67" xfId="1" applyNumberFormat="1" applyFont="1" applyFill="1" applyBorder="1"/>
    <xf numFmtId="164" fontId="43" fillId="0" borderId="67" xfId="1" applyNumberFormat="1" applyFont="1" applyBorder="1"/>
    <xf numFmtId="165" fontId="44" fillId="42" borderId="68" xfId="45" applyNumberFormat="1" applyFont="1" applyFill="1" applyBorder="1"/>
    <xf numFmtId="164" fontId="43" fillId="0" borderId="67" xfId="0" applyNumberFormat="1" applyFont="1" applyBorder="1"/>
    <xf numFmtId="9" fontId="38" fillId="0" borderId="66" xfId="45" applyFont="1" applyBorder="1" applyAlignment="1">
      <alignment horizontal="center" vertical="center" wrapText="1"/>
    </xf>
    <xf numFmtId="9" fontId="43" fillId="0" borderId="67" xfId="45" applyFont="1" applyBorder="1" applyAlignment="1">
      <alignment horizontal="center"/>
    </xf>
    <xf numFmtId="9" fontId="44" fillId="42" borderId="68" xfId="45" applyFont="1" applyFill="1" applyBorder="1" applyAlignment="1">
      <alignment horizontal="center"/>
    </xf>
    <xf numFmtId="164" fontId="43" fillId="45" borderId="64" xfId="1" applyNumberFormat="1" applyFont="1" applyFill="1" applyBorder="1" applyAlignment="1">
      <alignment wrapText="1"/>
    </xf>
    <xf numFmtId="164" fontId="42" fillId="0" borderId="67" xfId="1" applyNumberFormat="1" applyFont="1" applyFill="1" applyBorder="1"/>
    <xf numFmtId="164" fontId="42" fillId="0" borderId="47" xfId="1" applyNumberFormat="1" applyFont="1" applyFill="1" applyBorder="1" applyAlignment="1">
      <alignment horizontal="center"/>
    </xf>
    <xf numFmtId="9" fontId="42" fillId="0" borderId="67" xfId="45" applyFont="1" applyBorder="1" applyAlignment="1">
      <alignment horizontal="center"/>
    </xf>
    <xf numFmtId="164" fontId="42" fillId="0" borderId="47" xfId="1" applyNumberFormat="1" applyFont="1" applyBorder="1" applyAlignment="1">
      <alignment horizontal="center"/>
    </xf>
    <xf numFmtId="43" fontId="39" fillId="0" borderId="0" xfId="0" applyNumberFormat="1" applyFont="1"/>
    <xf numFmtId="0" fontId="0" fillId="0" borderId="0" xfId="0" applyAlignment="1">
      <alignment wrapText="1"/>
    </xf>
    <xf numFmtId="164" fontId="42" fillId="0" borderId="67" xfId="0" applyNumberFormat="1" applyFont="1" applyBorder="1"/>
    <xf numFmtId="0" fontId="46" fillId="33" borderId="62" xfId="0" applyFont="1" applyFill="1" applyBorder="1"/>
    <xf numFmtId="9" fontId="38" fillId="0" borderId="63" xfId="45" applyFont="1" applyBorder="1" applyAlignment="1">
      <alignment horizontal="center" vertical="center" wrapText="1"/>
    </xf>
    <xf numFmtId="9" fontId="42" fillId="0" borderId="64" xfId="45" applyFont="1" applyBorder="1" applyAlignment="1">
      <alignment horizontal="center"/>
    </xf>
    <xf numFmtId="9" fontId="43" fillId="0" borderId="64" xfId="45" applyFont="1" applyBorder="1" applyAlignment="1">
      <alignment horizontal="center"/>
    </xf>
    <xf numFmtId="9" fontId="44" fillId="42" borderId="65" xfId="45" applyFont="1" applyFill="1" applyBorder="1" applyAlignment="1">
      <alignment horizontal="center"/>
    </xf>
    <xf numFmtId="164" fontId="46" fillId="33" borderId="69" xfId="0" applyNumberFormat="1" applyFont="1" applyFill="1" applyBorder="1" applyAlignment="1">
      <alignment horizontal="center"/>
    </xf>
    <xf numFmtId="0" fontId="46" fillId="33" borderId="59" xfId="0" applyFont="1" applyFill="1" applyBorder="1" applyAlignment="1">
      <alignment wrapText="1"/>
    </xf>
    <xf numFmtId="0" fontId="38" fillId="44" borderId="70" xfId="0" applyFont="1" applyFill="1" applyBorder="1" applyAlignment="1">
      <alignment horizontal="center" wrapText="1"/>
    </xf>
    <xf numFmtId="9" fontId="38" fillId="44" borderId="70" xfId="45" applyFont="1" applyFill="1" applyBorder="1" applyAlignment="1">
      <alignment horizontal="center" vertical="center" wrapText="1"/>
    </xf>
    <xf numFmtId="0" fontId="41" fillId="0" borderId="71" xfId="0" applyFont="1" applyBorder="1" applyAlignment="1">
      <alignment vertical="center" wrapText="1"/>
    </xf>
    <xf numFmtId="0" fontId="38" fillId="44" borderId="0" xfId="0" quotePrefix="1" applyFont="1" applyFill="1" applyAlignment="1">
      <alignment horizontal="center" vertical="center" wrapText="1"/>
    </xf>
    <xf numFmtId="0" fontId="42" fillId="0" borderId="47" xfId="0" applyFont="1" applyBorder="1"/>
    <xf numFmtId="0" fontId="42" fillId="0" borderId="47" xfId="0" applyFont="1" applyBorder="1" applyAlignment="1">
      <alignment horizontal="left" indent="2"/>
    </xf>
    <xf numFmtId="165" fontId="44" fillId="42" borderId="61" xfId="45" applyNumberFormat="1" applyFont="1" applyFill="1" applyBorder="1"/>
    <xf numFmtId="0" fontId="43" fillId="0" borderId="47" xfId="0" applyFont="1" applyBorder="1"/>
    <xf numFmtId="0" fontId="45" fillId="33" borderId="48" xfId="0" applyFont="1" applyFill="1" applyBorder="1"/>
    <xf numFmtId="164" fontId="46" fillId="33" borderId="69" xfId="45" applyNumberFormat="1" applyFont="1" applyFill="1" applyBorder="1"/>
    <xf numFmtId="164" fontId="46" fillId="33" borderId="72" xfId="45" applyNumberFormat="1" applyFont="1" applyFill="1" applyBorder="1"/>
    <xf numFmtId="164" fontId="46" fillId="33" borderId="58" xfId="0" applyNumberFormat="1" applyFont="1" applyFill="1" applyBorder="1" applyAlignment="1">
      <alignment horizontal="center"/>
    </xf>
    <xf numFmtId="164" fontId="46" fillId="44" borderId="72" xfId="45" applyNumberFormat="1" applyFont="1" applyFill="1" applyBorder="1"/>
    <xf numFmtId="9" fontId="38" fillId="44" borderId="72" xfId="45" applyFont="1" applyFill="1" applyBorder="1" applyAlignment="1">
      <alignment horizontal="center" vertical="center" wrapText="1"/>
    </xf>
    <xf numFmtId="43" fontId="16" fillId="34" borderId="42" xfId="1" applyFont="1" applyFill="1" applyBorder="1" applyAlignment="1">
      <alignment horizontal="center"/>
    </xf>
    <xf numFmtId="43" fontId="0" fillId="34" borderId="30" xfId="1" applyFont="1" applyFill="1" applyBorder="1" applyAlignment="1">
      <alignment horizontal="center"/>
    </xf>
    <xf numFmtId="43" fontId="16" fillId="34" borderId="41" xfId="1" applyFont="1" applyFill="1" applyBorder="1" applyAlignment="1">
      <alignment horizontal="center"/>
    </xf>
    <xf numFmtId="43" fontId="16" fillId="34" borderId="43" xfId="1" applyFont="1" applyFill="1" applyBorder="1" applyAlignment="1">
      <alignment horizontal="center"/>
    </xf>
    <xf numFmtId="43" fontId="16" fillId="34" borderId="44" xfId="1" applyFont="1" applyFill="1" applyBorder="1" applyAlignment="1">
      <alignment horizontal="center"/>
    </xf>
    <xf numFmtId="43" fontId="16" fillId="34" borderId="45" xfId="1" applyFont="1" applyFill="1" applyBorder="1" applyAlignment="1">
      <alignment horizontal="center"/>
    </xf>
    <xf numFmtId="43" fontId="16" fillId="34" borderId="27" xfId="1" applyFont="1" applyFill="1" applyBorder="1" applyAlignment="1">
      <alignment horizontal="center"/>
    </xf>
    <xf numFmtId="43" fontId="16" fillId="34" borderId="25" xfId="1" applyFont="1" applyFill="1" applyBorder="1" applyAlignment="1">
      <alignment horizontal="center"/>
    </xf>
    <xf numFmtId="43" fontId="16" fillId="34" borderId="26" xfId="1" applyFont="1" applyFill="1" applyBorder="1" applyAlignment="1">
      <alignment horizontal="center"/>
    </xf>
    <xf numFmtId="43" fontId="16" fillId="34" borderId="39" xfId="1" applyFont="1" applyFill="1" applyBorder="1" applyAlignment="1">
      <alignment horizontal="center"/>
    </xf>
    <xf numFmtId="164" fontId="16" fillId="34" borderId="38" xfId="1" applyNumberFormat="1" applyFont="1" applyFill="1" applyBorder="1" applyAlignment="1">
      <alignment horizontal="center"/>
    </xf>
    <xf numFmtId="0" fontId="40" fillId="38" borderId="46" xfId="0" applyFont="1" applyFill="1" applyBorder="1" applyAlignment="1">
      <alignment horizontal="center" vertical="center" textRotation="90"/>
    </xf>
    <xf numFmtId="0" fontId="40" fillId="38" borderId="47" xfId="0" applyFont="1" applyFill="1" applyBorder="1" applyAlignment="1">
      <alignment horizontal="center" vertical="center" textRotation="90"/>
    </xf>
    <xf numFmtId="0" fontId="40" fillId="38" borderId="48" xfId="0" applyFont="1" applyFill="1" applyBorder="1" applyAlignment="1">
      <alignment horizontal="center" vertical="center" textRotation="90"/>
    </xf>
    <xf numFmtId="0" fontId="46" fillId="33" borderId="59" xfId="0" applyFont="1" applyFill="1" applyBorder="1" applyAlignment="1">
      <alignment horizontal="center"/>
    </xf>
    <xf numFmtId="0" fontId="46" fillId="33" borderId="56" xfId="0" applyFont="1" applyFill="1" applyBorder="1" applyAlignment="1">
      <alignment horizontal="center"/>
    </xf>
    <xf numFmtId="0" fontId="46" fillId="33" borderId="55" xfId="0" applyFont="1" applyFill="1" applyBorder="1" applyAlignment="1">
      <alignment horizontal="center" wrapText="1"/>
    </xf>
    <xf numFmtId="0" fontId="46" fillId="33" borderId="56" xfId="0" applyFont="1" applyFill="1" applyBorder="1" applyAlignment="1">
      <alignment horizontal="center" wrapText="1"/>
    </xf>
    <xf numFmtId="0" fontId="33" fillId="44" borderId="0" xfId="0" applyFont="1" applyFill="1" applyAlignment="1">
      <alignment horizontal="right"/>
    </xf>
    <xf numFmtId="0" fontId="20" fillId="0" borderId="20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20" fillId="0" borderId="33" xfId="0" applyFont="1" applyBorder="1" applyAlignment="1">
      <alignment horizontal="center"/>
    </xf>
  </cellXfs>
  <cellStyles count="46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83857B3A-9962-4393-8EDF-B84AB948170A}"/>
    <cellStyle name="Normal 3" xfId="44" xr:uid="{15ECBF90-3E28-4344-8F12-8F3EB105D6C0}"/>
    <cellStyle name="Note" xfId="16" builtinId="10" customBuiltin="1"/>
    <cellStyle name="Output" xfId="11" builtinId="21" customBuiltin="1"/>
    <cellStyle name="Percent" xfId="45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2A60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1</xdr:row>
      <xdr:rowOff>104775</xdr:rowOff>
    </xdr:from>
    <xdr:to>
      <xdr:col>17</xdr:col>
      <xdr:colOff>342900</xdr:colOff>
      <xdr:row>23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4024FE-8083-CC4B-393E-25B44F488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57925" y="304800"/>
          <a:ext cx="4314825" cy="431482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andra Vargas" id="{6E5EEC0C-DC22-4720-B227-E49FA97057B2}" userId="c964b3d0045c8a24" providerId="Windows Live"/>
  <person displayName="Sandra Vargas" id="{A210B5B6-1BA7-4E9E-9DCA-25AD46BD1A7C}" userId="S::finance@atdnefl.org::b96da0c6-c4b9-490c-8eb3-3d40dfaa5912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2" dT="2025-02-04T01:57:48.94" personId="{A210B5B6-1BA7-4E9E-9DCA-25AD46BD1A7C}" id="{8E653416-87EB-4DA2-8316-65682AE032AD}">
    <text>Reimbursement for Fraudulent Debits from Maskfog in October, November and December 2024.</text>
  </threadedComment>
  <threadedComment ref="N64" dT="2023-12-19T01:44:08.74" personId="{6E5EEC0C-DC22-4720-B227-E49FA97057B2}" id="{3341B605-3EE8-4BA6-9113-991DD40EFA62}">
    <text>Barbara</text>
  </threadedComment>
  <threadedComment ref="A83" dT="2025-06-07T20:28:08.74" personId="{A210B5B6-1BA7-4E9E-9DCA-25AD46BD1A7C}" id="{FD4FAC0C-CD3A-40A0-BFEC-36969001CB74}">
    <text>For 2025: Hartford Insurance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70" dT="2023-01-27T18:26:43.17" personId="{6E5EEC0C-DC22-4720-B227-E49FA97057B2}" id="{752EBCF6-292C-4953-B1EF-FA5FCD565BE1}">
    <text>Microsoft 365</text>
  </threadedComment>
  <threadedComment ref="E84" dT="2023-02-06T21:13:09.16" personId="{6E5EEC0C-DC22-4720-B227-E49FA97057B2}" id="{872AE5CF-2900-4CE1-98AA-F28D92B44EEB}">
    <text>Sunbiz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A49D9-AB01-4F68-985E-6B0AD25D2262}">
  <sheetPr>
    <tabColor theme="9" tint="0.39997558519241921"/>
  </sheetPr>
  <dimension ref="A1:V31"/>
  <sheetViews>
    <sheetView workbookViewId="0">
      <selection activeCell="G20" sqref="G20"/>
    </sheetView>
  </sheetViews>
  <sheetFormatPr defaultColWidth="9.15625" defaultRowHeight="15.6" outlineLevelRow="1" x14ac:dyDescent="0.6"/>
  <cols>
    <col min="1" max="1" width="4.68359375" style="185" bestFit="1" customWidth="1"/>
    <col min="2" max="2" width="22.15625" style="194" customWidth="1"/>
    <col min="3" max="5" width="12.68359375" style="194" customWidth="1"/>
    <col min="6" max="6" width="1" style="194" customWidth="1"/>
    <col min="7" max="7" width="12.68359375" style="187" customWidth="1"/>
    <col min="8" max="8" width="1" style="187" customWidth="1"/>
    <col min="9" max="10" width="12.68359375" style="187" customWidth="1"/>
    <col min="11" max="16384" width="9.15625" style="187"/>
  </cols>
  <sheetData>
    <row r="1" spans="1:22" x14ac:dyDescent="0.6">
      <c r="B1" s="186"/>
      <c r="C1" s="186"/>
      <c r="D1" s="186"/>
      <c r="E1" s="186"/>
      <c r="F1" s="196"/>
      <c r="H1" s="212"/>
      <c r="I1" s="196"/>
    </row>
    <row r="2" spans="1:22" ht="15" customHeight="1" x14ac:dyDescent="0.55000000000000004">
      <c r="A2" s="265" t="str">
        <f>_xlfn.CONCAT("ATD NEFL - BUD vs ACT ",'2025 Financials by Month'!$A$3, " CAL'25")</f>
        <v>ATD NEFL - BUD vs ACT YTD May CAL'25</v>
      </c>
      <c r="B2" s="239"/>
      <c r="C2" s="211" t="s">
        <v>0</v>
      </c>
      <c r="D2" s="270" t="s">
        <v>1</v>
      </c>
      <c r="E2" s="271"/>
      <c r="F2" s="240"/>
      <c r="G2" s="233" t="s">
        <v>2</v>
      </c>
      <c r="H2" s="241"/>
      <c r="I2" s="268" t="s">
        <v>3</v>
      </c>
      <c r="J2" s="269"/>
    </row>
    <row r="3" spans="1:22" ht="25.8" x14ac:dyDescent="0.55000000000000004">
      <c r="A3" s="266"/>
      <c r="B3" s="242"/>
      <c r="C3" s="206" t="s">
        <v>4</v>
      </c>
      <c r="D3" s="188" t="s">
        <v>5</v>
      </c>
      <c r="E3" s="215" t="s">
        <v>6</v>
      </c>
      <c r="F3" s="243"/>
      <c r="G3" s="234" t="s">
        <v>7</v>
      </c>
      <c r="H3" s="212"/>
      <c r="I3" s="201" t="s">
        <v>8</v>
      </c>
      <c r="J3" s="222" t="s">
        <v>7</v>
      </c>
    </row>
    <row r="4" spans="1:22" ht="15" customHeight="1" x14ac:dyDescent="0.55000000000000004">
      <c r="A4" s="266"/>
      <c r="B4" s="244" t="s">
        <v>9</v>
      </c>
      <c r="C4" s="207">
        <f>SUM(C5:C9)</f>
        <v>26906.850000000002</v>
      </c>
      <c r="D4" s="190">
        <f ca="1">SUM(D5:D9)</f>
        <v>17255.549999999996</v>
      </c>
      <c r="E4" s="216">
        <f>SUM(E5:E9)</f>
        <v>13857.54</v>
      </c>
      <c r="F4" s="197"/>
      <c r="G4" s="235">
        <f>E4/C4</f>
        <v>0.51501903790298753</v>
      </c>
      <c r="H4" s="212"/>
      <c r="I4" s="229">
        <f ca="1">D4-E4</f>
        <v>3398.0099999999948</v>
      </c>
      <c r="J4" s="228">
        <f ca="1">I4/D4</f>
        <v>0.19692272920886297</v>
      </c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</row>
    <row r="5" spans="1:22" ht="15" customHeight="1" outlineLevel="1" x14ac:dyDescent="0.55000000000000004">
      <c r="A5" s="266"/>
      <c r="B5" s="245" t="s">
        <v>10</v>
      </c>
      <c r="C5" s="208">
        <f>'2025 Financials by Month'!Z20</f>
        <v>9026.5</v>
      </c>
      <c r="D5" s="191">
        <f ca="1">'2025 Financials by Month'!AC20</f>
        <v>7966</v>
      </c>
      <c r="E5" s="217">
        <f>'2025 Financials by Month'!AD20</f>
        <v>6065</v>
      </c>
      <c r="F5" s="198"/>
      <c r="G5" s="236">
        <f t="shared" ref="G5:G19" si="0">E5/C5</f>
        <v>0.6719104857918351</v>
      </c>
      <c r="H5" s="212"/>
      <c r="I5" s="202">
        <f ca="1">(D5-E5)</f>
        <v>1901</v>
      </c>
      <c r="J5" s="223">
        <f t="shared" ref="J5:J19" ca="1" si="1">I5/D5</f>
        <v>0.23863921667085111</v>
      </c>
      <c r="K5" s="189"/>
      <c r="L5" s="189"/>
      <c r="M5" s="230"/>
      <c r="N5" s="189"/>
      <c r="O5" s="189"/>
      <c r="P5" s="189"/>
      <c r="Q5" s="189"/>
      <c r="R5" s="189"/>
      <c r="S5" s="189"/>
      <c r="T5" s="189"/>
      <c r="U5" s="189"/>
      <c r="V5" s="189"/>
    </row>
    <row r="6" spans="1:22" ht="15" customHeight="1" outlineLevel="1" x14ac:dyDescent="0.55000000000000004">
      <c r="A6" s="266"/>
      <c r="B6" s="245" t="s">
        <v>11</v>
      </c>
      <c r="C6" s="208">
        <f>'2025 Financials by Month'!Z27</f>
        <v>6524.35</v>
      </c>
      <c r="D6" s="191">
        <f ca="1">'2025 Financials by Month'!AC27</f>
        <v>2549.35</v>
      </c>
      <c r="E6" s="217">
        <f>'2025 Financials by Month'!AD27</f>
        <v>2306.85</v>
      </c>
      <c r="F6" s="198"/>
      <c r="G6" s="236">
        <f t="shared" si="0"/>
        <v>0.3535754519607317</v>
      </c>
      <c r="H6" s="212"/>
      <c r="I6" s="202">
        <f ca="1">(D6-E6)</f>
        <v>242.5</v>
      </c>
      <c r="J6" s="223">
        <f t="shared" ca="1" si="1"/>
        <v>9.5122286072920545E-2</v>
      </c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</row>
    <row r="7" spans="1:22" ht="15" customHeight="1" outlineLevel="1" x14ac:dyDescent="0.55000000000000004">
      <c r="A7" s="266"/>
      <c r="B7" s="245" t="s">
        <v>12</v>
      </c>
      <c r="C7" s="208">
        <f>'2025 Financials by Month'!Z31</f>
        <v>1130</v>
      </c>
      <c r="D7" s="191">
        <f ca="1">'2025 Financials by Month'!AC31</f>
        <v>490</v>
      </c>
      <c r="E7" s="217">
        <f>'2025 Financials by Month'!AD31</f>
        <v>393.83</v>
      </c>
      <c r="F7" s="198"/>
      <c r="G7" s="236">
        <f t="shared" si="0"/>
        <v>0.34852212389380527</v>
      </c>
      <c r="H7" s="212"/>
      <c r="I7" s="202">
        <f ca="1">(D7-E7)</f>
        <v>96.170000000000016</v>
      </c>
      <c r="J7" s="223">
        <f t="shared" ca="1" si="1"/>
        <v>0.19626530612244902</v>
      </c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</row>
    <row r="8" spans="1:22" ht="15" customHeight="1" outlineLevel="1" x14ac:dyDescent="0.55000000000000004">
      <c r="A8" s="266"/>
      <c r="B8" s="245" t="s">
        <v>13</v>
      </c>
      <c r="C8" s="208">
        <f>'2025 Financials by Month'!Z10</f>
        <v>10000</v>
      </c>
      <c r="D8" s="191">
        <f ca="1">'2025 Financials by Month'!AC10</f>
        <v>6150</v>
      </c>
      <c r="E8" s="217">
        <f>'2025 Financials by Month'!AD10</f>
        <v>5000</v>
      </c>
      <c r="F8" s="198"/>
      <c r="G8" s="236">
        <f t="shared" si="0"/>
        <v>0.5</v>
      </c>
      <c r="H8" s="212"/>
      <c r="I8" s="202">
        <f ca="1">(D8-E8)</f>
        <v>1150</v>
      </c>
      <c r="J8" s="223">
        <f t="shared" ca="1" si="1"/>
        <v>0.18699186991869918</v>
      </c>
      <c r="K8" s="189"/>
      <c r="L8" s="189"/>
      <c r="M8" s="189"/>
      <c r="N8" s="189"/>
      <c r="O8" s="189"/>
      <c r="P8" s="189"/>
      <c r="Q8" s="189"/>
      <c r="R8" s="189"/>
      <c r="S8" s="189"/>
      <c r="T8" s="189"/>
      <c r="U8" s="189"/>
      <c r="V8" s="189"/>
    </row>
    <row r="9" spans="1:22" ht="15" customHeight="1" outlineLevel="1" x14ac:dyDescent="0.55000000000000004">
      <c r="A9" s="266"/>
      <c r="B9" s="245" t="s">
        <v>14</v>
      </c>
      <c r="C9" s="225">
        <f>'2025 Financials by Month'!Z36 - SUM(C5:C8)</f>
        <v>226.00000000000364</v>
      </c>
      <c r="D9" s="191">
        <f ca="1">'2025 Financials by Month'!AC36 - SUM(D5:D8)</f>
        <v>100.19999999999709</v>
      </c>
      <c r="E9" s="217">
        <f>'2025 Financials by Month'!AD36 - SUM(E5:E8)</f>
        <v>91.860000000000582</v>
      </c>
      <c r="F9" s="198"/>
      <c r="G9" s="236">
        <f t="shared" si="0"/>
        <v>0.40646017699114645</v>
      </c>
      <c r="H9" s="212"/>
      <c r="I9" s="202">
        <f ca="1">(D9-E9)</f>
        <v>8.3399999999965075</v>
      </c>
      <c r="J9" s="223">
        <f t="shared" ca="1" si="1"/>
        <v>8.3233532934099297E-2</v>
      </c>
      <c r="K9" s="189"/>
      <c r="L9" s="189"/>
      <c r="M9" s="189"/>
      <c r="N9" s="189"/>
      <c r="O9" s="189"/>
      <c r="P9" s="189"/>
      <c r="Q9" s="189"/>
      <c r="R9" s="189"/>
      <c r="S9" s="189"/>
      <c r="T9" s="189"/>
      <c r="U9" s="189"/>
      <c r="V9" s="189"/>
    </row>
    <row r="10" spans="1:22" ht="15" customHeight="1" outlineLevel="1" x14ac:dyDescent="0.55000000000000004">
      <c r="A10" s="266"/>
      <c r="B10" s="245"/>
      <c r="C10" s="208"/>
      <c r="D10" s="191"/>
      <c r="E10" s="217"/>
      <c r="F10" s="198"/>
      <c r="G10" s="236"/>
      <c r="H10" s="212"/>
      <c r="I10" s="202"/>
      <c r="J10" s="223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</row>
    <row r="11" spans="1:22" ht="15" customHeight="1" x14ac:dyDescent="0.55000000000000004">
      <c r="A11" s="266"/>
      <c r="B11" s="244" t="s">
        <v>15</v>
      </c>
      <c r="C11" s="207">
        <f>SUM(C12:C17)</f>
        <v>21023.330000000005</v>
      </c>
      <c r="D11" s="190">
        <f ca="1">SUM(D12:D17)</f>
        <v>10272.4</v>
      </c>
      <c r="E11" s="218">
        <f>SUM(E12:E17)</f>
        <v>11178.179999999998</v>
      </c>
      <c r="F11" s="197"/>
      <c r="G11" s="235">
        <f t="shared" si="0"/>
        <v>0.53170358834685061</v>
      </c>
      <c r="H11" s="212"/>
      <c r="I11" s="229">
        <f t="shared" ref="I11:I17" ca="1" si="2">D11-E11</f>
        <v>-905.77999999999884</v>
      </c>
      <c r="J11" s="228">
        <f t="shared" ca="1" si="1"/>
        <v>-8.8176083485845463E-2</v>
      </c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</row>
    <row r="12" spans="1:22" ht="15" customHeight="1" x14ac:dyDescent="0.55000000000000004">
      <c r="A12" s="266"/>
      <c r="B12" s="245" t="s">
        <v>16</v>
      </c>
      <c r="C12" s="209">
        <f>'2025 Financials by Month'!Z52</f>
        <v>5075</v>
      </c>
      <c r="D12" s="192">
        <f ca="1">'2025 Financials by Month'!AC52</f>
        <v>2030</v>
      </c>
      <c r="E12" s="217">
        <f>'2025 Financials by Month'!AD52</f>
        <v>2963.5</v>
      </c>
      <c r="F12" s="199"/>
      <c r="G12" s="236">
        <f t="shared" si="0"/>
        <v>0.58394088669950739</v>
      </c>
      <c r="H12" s="212"/>
      <c r="I12" s="202">
        <f t="shared" ca="1" si="2"/>
        <v>-933.5</v>
      </c>
      <c r="J12" s="223">
        <f t="shared" ca="1" si="1"/>
        <v>-0.45985221674876847</v>
      </c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</row>
    <row r="13" spans="1:22" ht="15" customHeight="1" x14ac:dyDescent="0.55000000000000004">
      <c r="A13" s="266"/>
      <c r="B13" s="245" t="s">
        <v>17</v>
      </c>
      <c r="C13" s="209">
        <f>'2025 Financials by Month'!Z65</f>
        <v>4155</v>
      </c>
      <c r="D13" s="192">
        <f ca="1">'2025 Financials by Month'!AC65</f>
        <v>1215</v>
      </c>
      <c r="E13" s="217">
        <f>'2025 Financials by Month'!AD65</f>
        <v>1214</v>
      </c>
      <c r="F13" s="199"/>
      <c r="G13" s="236">
        <f t="shared" si="0"/>
        <v>0.29217809867629363</v>
      </c>
      <c r="H13" s="212"/>
      <c r="I13" s="202">
        <f t="shared" ca="1" si="2"/>
        <v>1</v>
      </c>
      <c r="J13" s="223">
        <f t="shared" ca="1" si="1"/>
        <v>8.2304526748971192E-4</v>
      </c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</row>
    <row r="14" spans="1:22" ht="15" customHeight="1" x14ac:dyDescent="0.55000000000000004">
      <c r="A14" s="266"/>
      <c r="B14" s="245" t="s">
        <v>18</v>
      </c>
      <c r="C14" s="209">
        <f>'2025 Financials by Month'!Z73</f>
        <v>4776.8799999999992</v>
      </c>
      <c r="D14" s="192">
        <f ca="1">'2025 Financials by Month'!AC73</f>
        <v>354.95</v>
      </c>
      <c r="E14" s="217">
        <f>'2025 Financials by Month'!AD73</f>
        <v>1112.9100000000001</v>
      </c>
      <c r="F14" s="199"/>
      <c r="G14" s="236">
        <f t="shared" si="0"/>
        <v>0.23297842943511252</v>
      </c>
      <c r="H14" s="212"/>
      <c r="I14" s="202">
        <f t="shared" ca="1" si="2"/>
        <v>-757.96</v>
      </c>
      <c r="J14" s="223">
        <f t="shared" ca="1" si="1"/>
        <v>-2.1353993520214116</v>
      </c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</row>
    <row r="15" spans="1:22" ht="15" customHeight="1" x14ac:dyDescent="0.55000000000000004">
      <c r="A15" s="266"/>
      <c r="B15" s="245" t="s">
        <v>19</v>
      </c>
      <c r="C15" s="209">
        <f>'2025 Financials by Month'!Z100+'2025 Financials by Month'!Z101+'2025 Financials by Month'!Z102</f>
        <v>5775</v>
      </c>
      <c r="D15" s="192">
        <f ca="1">'2025 Financials by Month'!AC100+'2025 Financials by Month'!AC101+'2025 Financials by Month'!AC102</f>
        <v>5775</v>
      </c>
      <c r="E15" s="217">
        <f>'2025 Financials by Month'!AD100+'2025 Financials by Month'!AD101+'2025 Financials by Month'!AD102</f>
        <v>4910.74</v>
      </c>
      <c r="F15" s="199"/>
      <c r="G15" s="236">
        <f t="shared" si="0"/>
        <v>0.85034458874458874</v>
      </c>
      <c r="H15" s="212"/>
      <c r="I15" s="202">
        <f t="shared" ca="1" si="2"/>
        <v>864.26000000000022</v>
      </c>
      <c r="J15" s="223">
        <f t="shared" ca="1" si="1"/>
        <v>0.14965541125541129</v>
      </c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</row>
    <row r="16" spans="1:22" ht="15" customHeight="1" x14ac:dyDescent="0.55000000000000004">
      <c r="A16" s="266"/>
      <c r="B16" s="245" t="s">
        <v>20</v>
      </c>
      <c r="C16" s="209">
        <f>'2025 Financials by Month'!Z87</f>
        <v>700</v>
      </c>
      <c r="D16" s="192">
        <f ca="1">'2025 Financials by Month'!AC87</f>
        <v>625</v>
      </c>
      <c r="E16" s="217">
        <f>'2025 Financials by Month'!AD87</f>
        <v>577.28</v>
      </c>
      <c r="F16" s="199"/>
      <c r="G16" s="236">
        <f t="shared" si="0"/>
        <v>0.82468571428571424</v>
      </c>
      <c r="H16" s="212"/>
      <c r="I16" s="202">
        <f t="shared" ca="1" si="2"/>
        <v>47.720000000000027</v>
      </c>
      <c r="J16" s="223">
        <f t="shared" ca="1" si="1"/>
        <v>7.6352000000000045E-2</v>
      </c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</row>
    <row r="17" spans="1:22" ht="15" customHeight="1" x14ac:dyDescent="0.55000000000000004">
      <c r="A17" s="266"/>
      <c r="B17" s="245" t="s">
        <v>21</v>
      </c>
      <c r="C17" s="225">
        <f>'2025 Financials by Month'!Z113-SUM('Ops Summary'!C12:C16)</f>
        <v>541.450000000008</v>
      </c>
      <c r="D17" s="191">
        <f ca="1">'2025 Financials by Month'!AC113-SUM('Ops Summary'!D12:D16)</f>
        <v>272.44999999999891</v>
      </c>
      <c r="E17" s="217">
        <f>'2025 Financials by Month'!AD113-SUM('Ops Summary'!E12:E16)</f>
        <v>399.74999999999818</v>
      </c>
      <c r="F17" s="198"/>
      <c r="G17" s="236">
        <f t="shared" si="0"/>
        <v>0.73829531812723659</v>
      </c>
      <c r="H17" s="212"/>
      <c r="I17" s="202">
        <f t="shared" ca="1" si="2"/>
        <v>-127.29999999999927</v>
      </c>
      <c r="J17" s="223">
        <f t="shared" ca="1" si="1"/>
        <v>-0.46724169572398527</v>
      </c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</row>
    <row r="18" spans="1:22" ht="15" customHeight="1" x14ac:dyDescent="0.55000000000000004">
      <c r="A18" s="266"/>
      <c r="B18" s="245"/>
      <c r="C18" s="208"/>
      <c r="D18" s="191"/>
      <c r="E18" s="219"/>
      <c r="F18" s="198"/>
      <c r="G18" s="236"/>
      <c r="H18" s="212"/>
      <c r="I18" s="202"/>
      <c r="J18" s="223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189"/>
    </row>
    <row r="19" spans="1:22" ht="15" customHeight="1" x14ac:dyDescent="0.55000000000000004">
      <c r="A19" s="266"/>
      <c r="B19" s="244" t="s">
        <v>9</v>
      </c>
      <c r="C19" s="207">
        <f>C4-C11</f>
        <v>5883.5199999999968</v>
      </c>
      <c r="D19" s="190">
        <f ca="1">D4-D11</f>
        <v>6983.149999999996</v>
      </c>
      <c r="E19" s="226">
        <f>E4-E11</f>
        <v>2679.3600000000024</v>
      </c>
      <c r="F19" s="197"/>
      <c r="G19" s="235">
        <f t="shared" si="0"/>
        <v>0.4554008484716639</v>
      </c>
      <c r="H19" s="212"/>
      <c r="I19" s="227">
        <f ca="1">I4+I11</f>
        <v>2492.2299999999959</v>
      </c>
      <c r="J19" s="228">
        <f t="shared" ca="1" si="1"/>
        <v>0.35689194704395544</v>
      </c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</row>
    <row r="20" spans="1:22" ht="15" customHeight="1" x14ac:dyDescent="0.55000000000000004">
      <c r="A20" s="266"/>
      <c r="B20" s="246" t="s">
        <v>22</v>
      </c>
      <c r="C20" s="210">
        <f>C19/C4</f>
        <v>0.21866253389006876</v>
      </c>
      <c r="D20" s="193">
        <f ca="1">D19/D4</f>
        <v>0.40469008521895838</v>
      </c>
      <c r="E20" s="220">
        <f>E19/E4</f>
        <v>0.19335033490792755</v>
      </c>
      <c r="F20" s="200"/>
      <c r="G20" s="237" t="s">
        <v>23</v>
      </c>
      <c r="H20" s="212"/>
      <c r="I20" s="203" t="s">
        <v>23</v>
      </c>
      <c r="J20" s="224" t="s">
        <v>23</v>
      </c>
    </row>
    <row r="21" spans="1:22" s="194" customFormat="1" ht="15" customHeight="1" x14ac:dyDescent="0.55000000000000004">
      <c r="A21" s="266"/>
      <c r="B21" s="247"/>
      <c r="C21" s="208"/>
      <c r="D21" s="191"/>
      <c r="E21" s="221"/>
      <c r="F21" s="198"/>
      <c r="G21" s="236"/>
      <c r="H21" s="212"/>
      <c r="I21" s="202"/>
      <c r="J21" s="223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</row>
    <row r="22" spans="1:22" s="194" customFormat="1" ht="15" customHeight="1" x14ac:dyDescent="0.55000000000000004">
      <c r="A22" s="266"/>
      <c r="B22" s="244" t="s">
        <v>24</v>
      </c>
      <c r="C22" s="207">
        <v>24060.639999999999</v>
      </c>
      <c r="D22" s="190" cm="1">
        <f t="array" aca="1" ref="D22" ca="1">_xlfn.LET(_xlpm.myOffset, 2*(myMonth-1),
     OFFSET('2025 Financials by Month'!B130,0,_xlpm.myOffset,1,1)
     + OFFSET('2025 Financials by Month'!B134,0,_xlpm.myOffset,1,1)
     + OFFSET('2025 Financials by Month'!B138,0,_xlpm.myOffset,1,1)
      )</f>
        <v>25159.990000000005</v>
      </c>
      <c r="E22" s="232" cm="1">
        <f t="array" aca="1" ref="E22" ca="1">_xlfn.LET(_xlpm.myOffset, 2*(myMonth-1),
     OFFSET('2025 Financials by Month'!C130,0,_xlpm.myOffset,1,1)
     + OFFSET('2025 Financials by Month'!C134,0,_xlpm.myOffset,1,1)
     + OFFSET('2025 Financials by Month'!C138,0,_xlpm.myOffset,1,1)
      )</f>
        <v>20856.04</v>
      </c>
      <c r="F22" s="197"/>
      <c r="G22" s="235">
        <f ca="1">E22/C22</f>
        <v>0.86681152288550933</v>
      </c>
      <c r="H22" s="212"/>
      <c r="I22" s="229">
        <f ca="1">-(D22-E22)</f>
        <v>-4303.9500000000044</v>
      </c>
      <c r="J22" s="228">
        <f ca="1">I22/D22</f>
        <v>-0.17106326353865814</v>
      </c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</row>
    <row r="23" spans="1:22" s="194" customFormat="1" ht="15" customHeight="1" x14ac:dyDescent="0.55000000000000004">
      <c r="A23" s="267"/>
      <c r="B23" s="248"/>
      <c r="C23" s="249"/>
      <c r="D23" s="250"/>
      <c r="E23" s="251"/>
      <c r="F23" s="252"/>
      <c r="G23" s="238"/>
      <c r="H23" s="253"/>
      <c r="I23" s="204"/>
      <c r="J23" s="205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</row>
    <row r="24" spans="1:22" s="194" customFormat="1" x14ac:dyDescent="0.6">
      <c r="A24" s="185"/>
      <c r="B24" s="213"/>
      <c r="C24" s="195"/>
      <c r="D24" s="195"/>
      <c r="E24" s="195"/>
      <c r="F24" s="195"/>
      <c r="G24" s="187"/>
      <c r="H24" s="214"/>
      <c r="I24" s="195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</row>
    <row r="25" spans="1:22" x14ac:dyDescent="0.6">
      <c r="H25" s="214"/>
      <c r="I25" s="194"/>
    </row>
    <row r="26" spans="1:22" x14ac:dyDescent="0.6">
      <c r="H26" s="214"/>
      <c r="I26" s="194"/>
    </row>
    <row r="27" spans="1:22" x14ac:dyDescent="0.6">
      <c r="H27" s="214"/>
      <c r="I27" s="194"/>
    </row>
    <row r="28" spans="1:22" x14ac:dyDescent="0.6">
      <c r="H28" s="214"/>
      <c r="I28" s="194"/>
    </row>
    <row r="29" spans="1:22" x14ac:dyDescent="0.6">
      <c r="I29" s="194"/>
    </row>
    <row r="30" spans="1:22" x14ac:dyDescent="0.6">
      <c r="I30" s="194"/>
    </row>
    <row r="31" spans="1:22" x14ac:dyDescent="0.6">
      <c r="I31" s="194"/>
    </row>
  </sheetData>
  <mergeCells count="3">
    <mergeCell ref="A2:A23"/>
    <mergeCell ref="I2:J2"/>
    <mergeCell ref="D2:E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89DFC-22BE-4C09-B5CF-080D216B470D}">
  <sheetPr>
    <tabColor theme="4" tint="0.59999389629810485"/>
  </sheetPr>
  <dimension ref="A1:X57"/>
  <sheetViews>
    <sheetView workbookViewId="0">
      <selection activeCell="A36" sqref="A36"/>
    </sheetView>
  </sheetViews>
  <sheetFormatPr defaultRowHeight="14.4" outlineLevelRow="1" x14ac:dyDescent="0.55000000000000004"/>
  <cols>
    <col min="1" max="1" width="38.68359375" bestFit="1" customWidth="1"/>
    <col min="2" max="5" width="13.68359375" customWidth="1"/>
    <col min="6" max="6" width="48.578125" customWidth="1"/>
  </cols>
  <sheetData>
    <row r="1" spans="1:24" ht="19.2" x14ac:dyDescent="0.7">
      <c r="A1" s="129" t="s">
        <v>25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</row>
    <row r="2" spans="1:24" ht="19.2" x14ac:dyDescent="0.7">
      <c r="A2" s="131" t="s">
        <v>26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</row>
    <row r="3" spans="1:24" x14ac:dyDescent="0.55000000000000004">
      <c r="A3" s="132" t="s">
        <v>27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4" x14ac:dyDescent="0.55000000000000004">
      <c r="A4" s="147" t="s">
        <v>28</v>
      </c>
      <c r="B4" s="98" t="s">
        <v>29</v>
      </c>
      <c r="C4" s="98" t="s">
        <v>30</v>
      </c>
      <c r="D4" s="98" t="s">
        <v>31</v>
      </c>
      <c r="E4" s="98" t="s">
        <v>32</v>
      </c>
      <c r="F4" s="98" t="s">
        <v>33</v>
      </c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</row>
    <row r="5" spans="1:24" x14ac:dyDescent="0.55000000000000004">
      <c r="A5" s="130" t="s">
        <v>13</v>
      </c>
      <c r="B5" s="134">
        <f>SUM(B6:B9)</f>
        <v>2000</v>
      </c>
      <c r="C5" s="134">
        <f>SUM(C6:C9)</f>
        <v>3000</v>
      </c>
      <c r="D5" s="134">
        <f>SUM(D6:D9)</f>
        <v>0</v>
      </c>
      <c r="E5" s="134">
        <f>SUM(B5:D5)</f>
        <v>5000</v>
      </c>
      <c r="F5" s="157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</row>
    <row r="6" spans="1:24" outlineLevel="1" x14ac:dyDescent="0.55000000000000004">
      <c r="A6" s="174" t="s">
        <v>34</v>
      </c>
      <c r="B6" s="136">
        <v>2000</v>
      </c>
      <c r="C6" s="136"/>
      <c r="D6" s="136"/>
      <c r="E6" s="136">
        <f>SUM(B6:D6)</f>
        <v>2000</v>
      </c>
      <c r="F6" s="173" t="s">
        <v>35</v>
      </c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</row>
    <row r="7" spans="1:24" outlineLevel="1" x14ac:dyDescent="0.55000000000000004">
      <c r="A7" s="174" t="s">
        <v>36</v>
      </c>
      <c r="B7" s="136"/>
      <c r="C7" s="136">
        <v>1000</v>
      </c>
      <c r="D7" s="136">
        <v>0</v>
      </c>
      <c r="E7" s="136">
        <f t="shared" ref="E7:E9" si="0">SUM(B7:D7)</f>
        <v>1000</v>
      </c>
      <c r="F7" s="173" t="s">
        <v>37</v>
      </c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</row>
    <row r="8" spans="1:24" outlineLevel="1" x14ac:dyDescent="0.55000000000000004">
      <c r="A8" s="174" t="s">
        <v>38</v>
      </c>
      <c r="B8" s="136"/>
      <c r="C8" s="136">
        <v>1500</v>
      </c>
      <c r="D8" s="136">
        <v>0</v>
      </c>
      <c r="E8" s="136">
        <f t="shared" si="0"/>
        <v>1500</v>
      </c>
      <c r="F8" s="173" t="s">
        <v>39</v>
      </c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</row>
    <row r="9" spans="1:24" outlineLevel="1" x14ac:dyDescent="0.55000000000000004">
      <c r="A9" s="174" t="s">
        <v>40</v>
      </c>
      <c r="B9" s="136"/>
      <c r="C9" s="136">
        <v>500</v>
      </c>
      <c r="D9" s="136">
        <v>0</v>
      </c>
      <c r="E9" s="136">
        <f t="shared" si="0"/>
        <v>500</v>
      </c>
      <c r="F9" s="173" t="s">
        <v>41</v>
      </c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</row>
    <row r="10" spans="1:24" outlineLevel="1" x14ac:dyDescent="0.55000000000000004">
      <c r="A10" s="135" t="s">
        <v>42</v>
      </c>
      <c r="B10" s="136">
        <f>B5-'2025 Financials by Month'!C13</f>
        <v>0</v>
      </c>
      <c r="C10" s="136">
        <f>C5-'2025 Financials by Month'!E13</f>
        <v>0</v>
      </c>
      <c r="D10" s="136"/>
      <c r="E10" s="136"/>
      <c r="F10" s="157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</row>
    <row r="11" spans="1:24" x14ac:dyDescent="0.55000000000000004">
      <c r="A11" s="153" t="s">
        <v>43</v>
      </c>
      <c r="B11" s="154">
        <v>0.75</v>
      </c>
      <c r="C11" s="154">
        <f>B11</f>
        <v>0.75</v>
      </c>
      <c r="D11" s="154"/>
      <c r="E11" s="154">
        <f>C11</f>
        <v>0.75</v>
      </c>
      <c r="F11" s="158" t="s">
        <v>44</v>
      </c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</row>
    <row r="12" spans="1:24" x14ac:dyDescent="0.55000000000000004">
      <c r="A12" s="175" t="s">
        <v>45</v>
      </c>
      <c r="B12" s="176">
        <f>B5*B11</f>
        <v>1500</v>
      </c>
      <c r="C12" s="176">
        <f>C5*C11</f>
        <v>2250</v>
      </c>
      <c r="D12" s="176"/>
      <c r="E12" s="176">
        <f>SUM(B12:C12)</f>
        <v>3750</v>
      </c>
      <c r="F12" s="160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</row>
    <row r="13" spans="1:24" x14ac:dyDescent="0.55000000000000004">
      <c r="A13" s="155"/>
      <c r="B13" s="156"/>
      <c r="C13" s="156"/>
      <c r="D13" s="156"/>
      <c r="E13" s="156"/>
      <c r="F13" s="159"/>
      <c r="G13" s="130"/>
      <c r="H13" s="133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</row>
    <row r="14" spans="1:24" x14ac:dyDescent="0.55000000000000004">
      <c r="A14" s="130" t="s">
        <v>46</v>
      </c>
      <c r="B14" s="134">
        <f>'2025 Financials by Month'!C17-B15</f>
        <v>1660</v>
      </c>
      <c r="C14" s="137">
        <f>'2025 Financials by Month'!E17-C15</f>
        <v>2870</v>
      </c>
      <c r="D14" s="137">
        <v>175</v>
      </c>
      <c r="E14" s="143">
        <f>SUM(B14:D14)</f>
        <v>4705</v>
      </c>
      <c r="F14" s="158" t="s">
        <v>47</v>
      </c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</row>
    <row r="15" spans="1:24" x14ac:dyDescent="0.55000000000000004">
      <c r="A15" s="130" t="s">
        <v>48</v>
      </c>
      <c r="B15" s="142">
        <f>SUM(B16:B19)</f>
        <v>265</v>
      </c>
      <c r="C15" s="142">
        <f>SUM(C16:C19)</f>
        <v>220</v>
      </c>
      <c r="D15" s="142"/>
      <c r="E15" s="143">
        <f>SUM(B15:D15)</f>
        <v>485</v>
      </c>
      <c r="F15" s="158" t="s">
        <v>49</v>
      </c>
      <c r="G15" s="137"/>
      <c r="H15" s="138"/>
      <c r="I15" s="130"/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</row>
    <row r="16" spans="1:24" outlineLevel="1" x14ac:dyDescent="0.55000000000000004">
      <c r="A16" s="139" t="s">
        <v>50</v>
      </c>
      <c r="B16" s="140">
        <v>145</v>
      </c>
      <c r="C16" s="140"/>
      <c r="D16" s="140"/>
      <c r="E16" s="141">
        <f>SUM(B16:D16)</f>
        <v>145</v>
      </c>
      <c r="F16" s="172" t="s">
        <v>51</v>
      </c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</row>
    <row r="17" spans="1:24" outlineLevel="1" x14ac:dyDescent="0.55000000000000004">
      <c r="A17" s="139" t="s">
        <v>52</v>
      </c>
      <c r="B17" s="140">
        <v>120</v>
      </c>
      <c r="C17" s="140"/>
      <c r="D17" s="140"/>
      <c r="E17" s="141">
        <f t="shared" ref="E17:E19" si="1">SUM(B17:D17)</f>
        <v>120</v>
      </c>
      <c r="F17" s="172" t="s">
        <v>51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</row>
    <row r="18" spans="1:24" outlineLevel="1" x14ac:dyDescent="0.55000000000000004">
      <c r="A18" s="139" t="s">
        <v>53</v>
      </c>
      <c r="B18" s="140"/>
      <c r="C18" s="140">
        <v>100</v>
      </c>
      <c r="D18" s="140"/>
      <c r="E18" s="141">
        <f t="shared" si="1"/>
        <v>100</v>
      </c>
      <c r="F18" s="172" t="s">
        <v>54</v>
      </c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</row>
    <row r="19" spans="1:24" outlineLevel="1" x14ac:dyDescent="0.55000000000000004">
      <c r="A19" s="139" t="s">
        <v>55</v>
      </c>
      <c r="B19" s="130"/>
      <c r="C19" s="140">
        <v>120</v>
      </c>
      <c r="D19" s="140"/>
      <c r="E19" s="141">
        <f t="shared" si="1"/>
        <v>120</v>
      </c>
      <c r="F19" s="172" t="s">
        <v>51</v>
      </c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</row>
    <row r="20" spans="1:24" x14ac:dyDescent="0.55000000000000004">
      <c r="A20" s="130"/>
      <c r="B20" s="142"/>
      <c r="C20" s="137"/>
      <c r="D20" s="137"/>
      <c r="E20" s="143"/>
      <c r="F20" s="158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</row>
    <row r="21" spans="1:24" x14ac:dyDescent="0.55000000000000004">
      <c r="A21" s="148" t="s">
        <v>56</v>
      </c>
      <c r="B21" s="176">
        <f>B14+B15</f>
        <v>1925</v>
      </c>
      <c r="C21" s="152">
        <f>C14+C15</f>
        <v>3090</v>
      </c>
      <c r="D21" s="152">
        <f>D14+D15</f>
        <v>175</v>
      </c>
      <c r="E21" s="152">
        <f>E14+E15</f>
        <v>5190</v>
      </c>
      <c r="F21" s="16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</row>
    <row r="22" spans="1:24" x14ac:dyDescent="0.55000000000000004">
      <c r="A22" s="147" t="s">
        <v>57</v>
      </c>
      <c r="B22" s="144"/>
      <c r="C22" s="144"/>
      <c r="D22" s="144"/>
      <c r="E22" s="145"/>
      <c r="F22" s="161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</row>
    <row r="23" spans="1:24" x14ac:dyDescent="0.55000000000000004">
      <c r="A23" s="130" t="s">
        <v>58</v>
      </c>
      <c r="B23" s="134">
        <f>'2025 Financials by Month'!C96</f>
        <v>575</v>
      </c>
      <c r="C23" s="134">
        <f>'2025 Financials by Month'!E96</f>
        <v>2243.87</v>
      </c>
      <c r="D23" s="134"/>
      <c r="E23" s="149">
        <f t="shared" ref="E23:E25" si="2">SUM(B23:D23)</f>
        <v>2818.87</v>
      </c>
      <c r="F23" s="158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</row>
    <row r="24" spans="1:24" x14ac:dyDescent="0.55000000000000004">
      <c r="A24" s="130" t="s">
        <v>59</v>
      </c>
      <c r="B24" s="171">
        <v>1000</v>
      </c>
      <c r="C24" s="134">
        <f>'2025 Financials by Month'!E97</f>
        <v>425</v>
      </c>
      <c r="D24" s="134"/>
      <c r="E24" s="149">
        <f t="shared" si="2"/>
        <v>1425</v>
      </c>
      <c r="F24" s="158" t="s">
        <v>60</v>
      </c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</row>
    <row r="25" spans="1:24" x14ac:dyDescent="0.55000000000000004">
      <c r="A25" s="130" t="s">
        <v>61</v>
      </c>
      <c r="B25" s="134"/>
      <c r="C25" s="134">
        <f>'2025 Financials by Month'!E95</f>
        <v>766.87</v>
      </c>
      <c r="D25" s="134"/>
      <c r="E25" s="149">
        <f t="shared" si="2"/>
        <v>766.87</v>
      </c>
      <c r="F25" s="157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</row>
    <row r="26" spans="1:24" x14ac:dyDescent="0.55000000000000004">
      <c r="A26" s="130" t="s">
        <v>14</v>
      </c>
      <c r="B26" s="134"/>
      <c r="C26" s="134"/>
      <c r="D26" s="134">
        <v>300</v>
      </c>
      <c r="E26" s="149">
        <f>SUM(B26:D26)</f>
        <v>300</v>
      </c>
      <c r="F26" s="157" t="s">
        <v>62</v>
      </c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</row>
    <row r="27" spans="1:24" x14ac:dyDescent="0.55000000000000004">
      <c r="A27" s="150" t="s">
        <v>63</v>
      </c>
      <c r="B27" s="151">
        <f>SUM(B23:B25)</f>
        <v>1575</v>
      </c>
      <c r="C27" s="151">
        <f>SUM(C23:C25)</f>
        <v>3435.74</v>
      </c>
      <c r="D27" s="151">
        <f>SUM(D23:D26)</f>
        <v>300</v>
      </c>
      <c r="E27" s="151">
        <f>SUM(E23:E26)</f>
        <v>5310.74</v>
      </c>
      <c r="F27" s="162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</row>
    <row r="28" spans="1:24" x14ac:dyDescent="0.55000000000000004">
      <c r="A28" s="147" t="s">
        <v>64</v>
      </c>
      <c r="B28" s="144"/>
      <c r="C28" s="144"/>
      <c r="D28" s="144"/>
      <c r="E28" s="145"/>
      <c r="F28" s="161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</row>
    <row r="29" spans="1:24" x14ac:dyDescent="0.55000000000000004">
      <c r="A29" s="164" t="s">
        <v>65</v>
      </c>
      <c r="B29" s="165">
        <f>B21-B27</f>
        <v>350</v>
      </c>
      <c r="C29" s="165">
        <f>C21-C27</f>
        <v>-345.73999999999978</v>
      </c>
      <c r="D29" s="165">
        <f>D21-D27</f>
        <v>-125</v>
      </c>
      <c r="E29" s="166">
        <f>E21-E27</f>
        <v>-120.73999999999978</v>
      </c>
      <c r="F29" s="167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</row>
    <row r="30" spans="1:24" x14ac:dyDescent="0.55000000000000004">
      <c r="A30" s="272" t="s">
        <v>66</v>
      </c>
      <c r="B30" s="272"/>
      <c r="C30" s="272"/>
      <c r="D30" s="179"/>
      <c r="E30" s="168">
        <f>E29/E21</f>
        <v>-2.326396917148358E-2</v>
      </c>
      <c r="F30" s="169" t="s">
        <v>67</v>
      </c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</row>
    <row r="31" spans="1:24" x14ac:dyDescent="0.55000000000000004">
      <c r="A31" s="164" t="s">
        <v>68</v>
      </c>
      <c r="B31" s="165">
        <f>B12+B21-B27</f>
        <v>1850</v>
      </c>
      <c r="C31" s="165">
        <f>C12+C21-C27</f>
        <v>1904.2600000000002</v>
      </c>
      <c r="D31" s="165">
        <f>D12+D21-D27</f>
        <v>-125</v>
      </c>
      <c r="E31" s="166">
        <f>E12+E21-E27</f>
        <v>3629.26</v>
      </c>
      <c r="F31" s="167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</row>
    <row r="32" spans="1:24" x14ac:dyDescent="0.55000000000000004">
      <c r="A32" s="272" t="s">
        <v>66</v>
      </c>
      <c r="B32" s="272"/>
      <c r="C32" s="272"/>
      <c r="D32" s="179"/>
      <c r="E32" s="168">
        <f>E31/(E21+E12)</f>
        <v>0.40595749440715884</v>
      </c>
      <c r="F32" s="169" t="str">
        <f>_xlfn.CONCAT("For Every $1 Invested, we generated: $", 1+ROUND(E32,2), " in Revenue")</f>
        <v>For Every $1 Invested, we generated: $1.41 in Revenue</v>
      </c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</row>
    <row r="33" spans="1:24" x14ac:dyDescent="0.55000000000000004">
      <c r="A33" s="146"/>
      <c r="B33" s="145"/>
      <c r="C33" s="145"/>
      <c r="D33" s="145"/>
      <c r="E33" s="145"/>
      <c r="F33" s="163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</row>
    <row r="34" spans="1:24" x14ac:dyDescent="0.55000000000000004">
      <c r="A34" s="130"/>
      <c r="B34" s="130"/>
      <c r="C34" s="170"/>
      <c r="D34" s="17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</row>
    <row r="35" spans="1:24" x14ac:dyDescent="0.55000000000000004">
      <c r="A35" s="130"/>
      <c r="B35" s="130"/>
      <c r="C35" s="130"/>
      <c r="D35" s="130"/>
      <c r="E35" s="170"/>
      <c r="F35" s="130"/>
      <c r="G35" s="130"/>
      <c r="H35" s="130"/>
      <c r="I35" s="130"/>
      <c r="J35" s="130"/>
      <c r="K35" s="130"/>
      <c r="L35" s="130"/>
      <c r="M35" s="130"/>
      <c r="N35" s="130"/>
      <c r="O35" s="130"/>
      <c r="P35" s="130"/>
    </row>
    <row r="36" spans="1:24" x14ac:dyDescent="0.55000000000000004">
      <c r="A36" s="130"/>
      <c r="B36" s="130"/>
      <c r="C36" s="130"/>
      <c r="D36" s="130"/>
      <c r="E36" s="170"/>
      <c r="F36" s="130"/>
      <c r="G36" s="130"/>
      <c r="H36" s="130"/>
      <c r="I36" s="130"/>
      <c r="J36" s="130"/>
      <c r="K36" s="130"/>
      <c r="L36" s="130"/>
      <c r="M36" s="130"/>
      <c r="N36" s="130"/>
      <c r="O36" s="130"/>
      <c r="P36" s="130"/>
    </row>
    <row r="37" spans="1:24" x14ac:dyDescent="0.55000000000000004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</row>
    <row r="38" spans="1:24" x14ac:dyDescent="0.55000000000000004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</row>
    <row r="39" spans="1:24" x14ac:dyDescent="0.55000000000000004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</row>
    <row r="40" spans="1:24" x14ac:dyDescent="0.55000000000000004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</row>
    <row r="41" spans="1:24" x14ac:dyDescent="0.55000000000000004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</row>
    <row r="42" spans="1:24" x14ac:dyDescent="0.55000000000000004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</row>
    <row r="43" spans="1:24" x14ac:dyDescent="0.55000000000000004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</row>
    <row r="44" spans="1:24" x14ac:dyDescent="0.55000000000000004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</row>
    <row r="45" spans="1:24" x14ac:dyDescent="0.55000000000000004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</row>
    <row r="46" spans="1:24" x14ac:dyDescent="0.55000000000000004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</row>
    <row r="47" spans="1:24" x14ac:dyDescent="0.55000000000000004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</row>
    <row r="48" spans="1:24" x14ac:dyDescent="0.55000000000000004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</row>
    <row r="49" spans="1:16" x14ac:dyDescent="0.55000000000000004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</row>
    <row r="50" spans="1:16" x14ac:dyDescent="0.55000000000000004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</row>
    <row r="51" spans="1:16" x14ac:dyDescent="0.55000000000000004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</row>
    <row r="52" spans="1:16" x14ac:dyDescent="0.55000000000000004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</row>
    <row r="53" spans="1:16" x14ac:dyDescent="0.55000000000000004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</row>
    <row r="54" spans="1:16" x14ac:dyDescent="0.55000000000000004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</row>
    <row r="55" spans="1:16" x14ac:dyDescent="0.55000000000000004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</row>
    <row r="56" spans="1:16" x14ac:dyDescent="0.55000000000000004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6" x14ac:dyDescent="0.55000000000000004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</row>
  </sheetData>
  <mergeCells count="2">
    <mergeCell ref="A30:C30"/>
    <mergeCell ref="A32:C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DB380-C844-40FC-B157-23454D5E1521}">
  <sheetPr>
    <tabColor theme="4" tint="0.79998168889431442"/>
  </sheetPr>
  <dimension ref="A1:AQ146"/>
  <sheetViews>
    <sheetView showGridLines="0" tabSelected="1" zoomScaleNormal="100" workbookViewId="0">
      <pane xSplit="1" ySplit="7" topLeftCell="B8" activePane="bottomRight" state="frozen"/>
      <selection pane="topRight"/>
      <selection pane="bottomLeft"/>
      <selection pane="bottomRight" activeCell="C26" sqref="C26"/>
    </sheetView>
  </sheetViews>
  <sheetFormatPr defaultRowHeight="15" customHeight="1" outlineLevelRow="1" outlineLevelCol="1" x14ac:dyDescent="0.55000000000000004"/>
  <cols>
    <col min="1" max="1" width="36.578125" bestFit="1" customWidth="1"/>
    <col min="2" max="27" width="10.26171875" style="62" customWidth="1" outlineLevel="1"/>
    <col min="28" max="28" width="0.83984375" customWidth="1"/>
    <col min="29" max="30" width="10.26171875" style="62" customWidth="1"/>
    <col min="31" max="31" width="10.26171875" style="62" bestFit="1" customWidth="1"/>
    <col min="32" max="32" width="0.83984375" customWidth="1"/>
    <col min="33" max="33" width="10.26171875" style="62" bestFit="1" customWidth="1"/>
    <col min="34" max="34" width="10.26171875" style="62" customWidth="1"/>
    <col min="35" max="35" width="10.26171875" style="62" bestFit="1" customWidth="1"/>
    <col min="36" max="36" width="45" customWidth="1"/>
    <col min="43" max="43" width="24.26171875" style="55" bestFit="1" customWidth="1"/>
  </cols>
  <sheetData>
    <row r="1" spans="1:43" s="46" customFormat="1" ht="19.2" x14ac:dyDescent="0.7">
      <c r="A1" s="46" t="s">
        <v>25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C1" s="61"/>
      <c r="AD1" s="61"/>
      <c r="AE1" s="61"/>
      <c r="AG1" s="61"/>
      <c r="AH1" s="61"/>
      <c r="AI1" s="61"/>
      <c r="AQ1" s="51"/>
    </row>
    <row r="2" spans="1:43" s="46" customFormat="1" ht="19.2" x14ac:dyDescent="0.7">
      <c r="A2" s="47" t="s">
        <v>69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C2" s="61"/>
      <c r="AD2" s="61"/>
      <c r="AE2" s="61"/>
      <c r="AG2" s="61"/>
      <c r="AH2" s="61"/>
      <c r="AI2" s="61"/>
      <c r="AQ2" s="51"/>
    </row>
    <row r="3" spans="1:43" ht="19.2" x14ac:dyDescent="0.7">
      <c r="A3" s="47" t="str" cm="1">
        <f t="array" ref="A3">_xlfn.CONCAT("YTD ", TEXT(DATE(Variables!$B$2,myMonth,1),"mmm"))</f>
        <v>YTD May</v>
      </c>
      <c r="F3" s="128"/>
      <c r="G3" s="128"/>
    </row>
    <row r="4" spans="1:43" ht="14.4" x14ac:dyDescent="0.55000000000000004">
      <c r="A4" s="95" t="s">
        <v>27</v>
      </c>
    </row>
    <row r="5" spans="1:43" s="22" customFormat="1" ht="16.2" x14ac:dyDescent="0.6">
      <c r="A5" s="21"/>
      <c r="B5" s="275" t="s">
        <v>70</v>
      </c>
      <c r="C5" s="273"/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 t="s">
        <v>0</v>
      </c>
      <c r="AA5" s="274"/>
      <c r="AC5" s="275" t="s">
        <v>71</v>
      </c>
      <c r="AD5" s="274"/>
      <c r="AE5" s="92" t="s">
        <v>72</v>
      </c>
      <c r="AG5" s="275" t="s">
        <v>73</v>
      </c>
      <c r="AH5" s="274"/>
      <c r="AI5" s="92" t="s">
        <v>72</v>
      </c>
      <c r="AQ5" s="52"/>
    </row>
    <row r="6" spans="1:43" s="24" customFormat="1" ht="16.2" x14ac:dyDescent="0.6">
      <c r="A6" s="23"/>
      <c r="B6" s="57" t="s">
        <v>74</v>
      </c>
      <c r="C6" s="59" t="str">
        <f>B6</f>
        <v>Jan</v>
      </c>
      <c r="D6" s="57" t="s">
        <v>75</v>
      </c>
      <c r="E6" s="59" t="str">
        <f>D6</f>
        <v>Feb</v>
      </c>
      <c r="F6" s="57" t="s">
        <v>76</v>
      </c>
      <c r="G6" s="59" t="str">
        <f>F6</f>
        <v>Mar</v>
      </c>
      <c r="H6" s="57" t="s">
        <v>77</v>
      </c>
      <c r="I6" s="59" t="str">
        <f>H6</f>
        <v>Apr</v>
      </c>
      <c r="J6" s="57" t="s">
        <v>78</v>
      </c>
      <c r="K6" s="58" t="str">
        <f>J6</f>
        <v>May</v>
      </c>
      <c r="L6" s="57" t="s">
        <v>79</v>
      </c>
      <c r="M6" s="59" t="str">
        <f>L6</f>
        <v>Jun</v>
      </c>
      <c r="N6" s="57" t="s">
        <v>80</v>
      </c>
      <c r="O6" s="59" t="str">
        <f>N6</f>
        <v>Jul</v>
      </c>
      <c r="P6" s="57" t="s">
        <v>81</v>
      </c>
      <c r="Q6" s="59" t="str">
        <f>P6</f>
        <v>Aug</v>
      </c>
      <c r="R6" s="57" t="s">
        <v>82</v>
      </c>
      <c r="S6" s="59" t="str">
        <f>R6</f>
        <v>Sep</v>
      </c>
      <c r="T6" s="57" t="s">
        <v>83</v>
      </c>
      <c r="U6" s="58" t="str">
        <f>T6</f>
        <v>Oct</v>
      </c>
      <c r="V6" s="57" t="s">
        <v>84</v>
      </c>
      <c r="W6" s="59" t="str">
        <f>V6</f>
        <v>Nov</v>
      </c>
      <c r="X6" s="57" t="s">
        <v>85</v>
      </c>
      <c r="Y6" s="59" t="str">
        <f>X6</f>
        <v>Dec</v>
      </c>
      <c r="Z6" s="60" t="s">
        <v>86</v>
      </c>
      <c r="AA6" s="59" t="s">
        <v>87</v>
      </c>
      <c r="AC6" s="60" t="s">
        <v>86</v>
      </c>
      <c r="AD6" s="59" t="s">
        <v>87</v>
      </c>
      <c r="AE6" s="60" t="s">
        <v>88</v>
      </c>
      <c r="AG6" s="60" t="s">
        <v>86</v>
      </c>
      <c r="AH6" s="59" t="s">
        <v>87</v>
      </c>
      <c r="AI6" s="60" t="s">
        <v>88</v>
      </c>
      <c r="AQ6" s="52"/>
    </row>
    <row r="7" spans="1:43" ht="14.4" x14ac:dyDescent="0.55000000000000004">
      <c r="A7" s="86" t="s">
        <v>9</v>
      </c>
      <c r="B7" s="87" t="s">
        <v>86</v>
      </c>
      <c r="C7" s="89" t="s">
        <v>87</v>
      </c>
      <c r="D7" s="87" t="s">
        <v>86</v>
      </c>
      <c r="E7" s="89" t="s">
        <v>87</v>
      </c>
      <c r="F7" s="87" t="s">
        <v>86</v>
      </c>
      <c r="G7" s="89" t="s">
        <v>87</v>
      </c>
      <c r="H7" s="87" t="s">
        <v>86</v>
      </c>
      <c r="I7" s="89" t="s">
        <v>87</v>
      </c>
      <c r="J7" s="87" t="s">
        <v>86</v>
      </c>
      <c r="K7" s="88" t="s">
        <v>87</v>
      </c>
      <c r="L7" s="87" t="s">
        <v>86</v>
      </c>
      <c r="M7" s="89" t="s">
        <v>87</v>
      </c>
      <c r="N7" s="87" t="s">
        <v>86</v>
      </c>
      <c r="O7" s="89" t="s">
        <v>87</v>
      </c>
      <c r="P7" s="87" t="s">
        <v>86</v>
      </c>
      <c r="Q7" s="89" t="s">
        <v>87</v>
      </c>
      <c r="R7" s="87" t="s">
        <v>86</v>
      </c>
      <c r="S7" s="89" t="s">
        <v>87</v>
      </c>
      <c r="T7" s="87" t="s">
        <v>86</v>
      </c>
      <c r="U7" s="88" t="s">
        <v>87</v>
      </c>
      <c r="V7" s="87" t="s">
        <v>86</v>
      </c>
      <c r="W7" s="89" t="s">
        <v>87</v>
      </c>
      <c r="X7" s="87" t="s">
        <v>86</v>
      </c>
      <c r="Y7" s="89" t="s">
        <v>87</v>
      </c>
      <c r="Z7" s="90"/>
      <c r="AA7" s="91"/>
      <c r="AC7" s="90"/>
      <c r="AD7" s="91"/>
      <c r="AE7" s="90"/>
      <c r="AG7" s="90"/>
      <c r="AH7" s="91"/>
      <c r="AI7" s="90"/>
      <c r="AQ7" s="53"/>
    </row>
    <row r="8" spans="1:43" ht="14.4" x14ac:dyDescent="0.55000000000000004">
      <c r="A8" s="12" t="s">
        <v>89</v>
      </c>
      <c r="B8" s="64"/>
      <c r="C8" s="66"/>
      <c r="D8" s="64"/>
      <c r="E8" s="66"/>
      <c r="F8" s="64"/>
      <c r="G8" s="66"/>
      <c r="H8" s="64"/>
      <c r="I8" s="66"/>
      <c r="J8" s="64"/>
      <c r="K8" s="65"/>
      <c r="L8" s="64"/>
      <c r="M8" s="66"/>
      <c r="N8" s="64"/>
      <c r="O8" s="66"/>
      <c r="P8" s="64"/>
      <c r="Q8" s="66"/>
      <c r="R8" s="64"/>
      <c r="S8" s="66"/>
      <c r="T8" s="64"/>
      <c r="U8" s="65"/>
      <c r="V8" s="64"/>
      <c r="W8" s="66"/>
      <c r="X8" s="64"/>
      <c r="Y8" s="66"/>
      <c r="Z8" s="65">
        <f>SUM($B8,$D8,$F8,$H8,$J8,$L8,$N8,$P8,$R8,$T8,$V8,$X8)</f>
        <v>0</v>
      </c>
      <c r="AA8" s="66">
        <f>SUM(C8,E8,G8,I8,K8,M8,O8,Q8,S8,U8,W8,Y8)</f>
        <v>0</v>
      </c>
      <c r="AC8" s="66">
        <f>SUM(E8,G8,I8,K8,M8,O8,Q8,S8,U8,W8,Y8,AA8)</f>
        <v>0</v>
      </c>
      <c r="AD8" s="66">
        <f>SUM(C8,E8,G8,I8,K8,M8,O8,Q8,S8,U8,W8)</f>
        <v>0</v>
      </c>
      <c r="AE8" s="64">
        <f>AD8-AC8</f>
        <v>0</v>
      </c>
      <c r="AG8" s="66">
        <f>SUM(H8,J8,L8,N8,P8,R8,T8,V8,X8,Z8,AB8,AD8)</f>
        <v>0</v>
      </c>
      <c r="AH8" s="66">
        <f>SUM(F8,H8,J8,L8,N8,P8,R8,T8,V8,X8,Z8)</f>
        <v>0</v>
      </c>
      <c r="AI8" s="64">
        <f>AH8-AG8</f>
        <v>0</v>
      </c>
      <c r="AQ8" s="49"/>
    </row>
    <row r="9" spans="1:43" ht="14.4" x14ac:dyDescent="0.55000000000000004">
      <c r="A9" s="13" t="s">
        <v>90</v>
      </c>
      <c r="B9" s="67"/>
      <c r="C9" s="69"/>
      <c r="D9" s="67"/>
      <c r="E9" s="69"/>
      <c r="F9" s="67"/>
      <c r="G9" s="69"/>
      <c r="H9" s="67"/>
      <c r="I9" s="69"/>
      <c r="J9" s="67"/>
      <c r="K9" s="68"/>
      <c r="L9" s="67"/>
      <c r="M9" s="69"/>
      <c r="N9" s="67"/>
      <c r="O9" s="69"/>
      <c r="P9" s="67"/>
      <c r="Q9" s="69"/>
      <c r="R9" s="67"/>
      <c r="S9" s="69"/>
      <c r="T9" s="67"/>
      <c r="U9" s="68"/>
      <c r="V9" s="67"/>
      <c r="W9" s="69"/>
      <c r="X9" s="67"/>
      <c r="Y9" s="69"/>
      <c r="Z9" s="68">
        <f t="shared" ref="Z9:Z72" si="0">SUM($B9,$D9,$F9,$H9,$J9,$L9,$N9,$P9,$R9,$T9,$V9,$X9)</f>
        <v>0</v>
      </c>
      <c r="AA9" s="69">
        <f t="shared" ref="AA9:AA12" si="1">SUM(C9,E9,G9,I9,K9,M9,O9,Q9,S9,U9,W9,Y9)</f>
        <v>0</v>
      </c>
      <c r="AC9" s="69" cm="1">
        <f t="array" aca="1" ref="AC9" ca="1">_xlfn.LET(_xlpm.myRng, OFFSET($B9,0,0,1,2*myMonth-1),
      SUMPRODUCT((MOD(COLUMN(_xlpm.myRng)-COLUMN($B9),2)=0)*_xlpm.myRng)
    )</f>
        <v>0</v>
      </c>
      <c r="AD9" s="69">
        <f t="shared" ref="AD9:AD35" si="2">SUM(C9,E9,G9,I9,K9,M9,O9,Q9,S9,U9,W9)</f>
        <v>0</v>
      </c>
      <c r="AE9" s="93">
        <f t="shared" ref="AE9:AE36" ca="1" si="3">AD9-AC9</f>
        <v>0</v>
      </c>
      <c r="AG9" s="69" cm="1">
        <f t="array" aca="1" ref="AG9" ca="1">_xlfn.LET(_xlpm.myRng, OFFSET($B9,0,2*(myMonth-1),1,1),
      SUMPRODUCT((MOD(COLUMN(_xlpm.myRng)-COLUMN($B9),2)=0)*_xlpm.myRng)
    )</f>
        <v>0</v>
      </c>
      <c r="AH9" s="71" cm="1">
        <f t="array" aca="1" ref="AH9" ca="1">_xlfn.LET(_xlpm.myRng, OFFSET($C9,0,2*(myMonth-1),1,1),
      SUMPRODUCT((MOD(COLUMN(_xlpm.myRng)-COLUMN($C9),2)=0)*_xlpm.myRng)
    )</f>
        <v>0</v>
      </c>
      <c r="AI9" s="93">
        <f t="shared" ref="AI9:AI36" ca="1" si="4">AH9-AG9</f>
        <v>0</v>
      </c>
      <c r="AQ9" s="49"/>
    </row>
    <row r="10" spans="1:43" ht="14.4" x14ac:dyDescent="0.55000000000000004">
      <c r="A10" s="13" t="s">
        <v>91</v>
      </c>
      <c r="B10" s="67">
        <v>2000</v>
      </c>
      <c r="C10" s="69">
        <v>2000</v>
      </c>
      <c r="D10" s="67">
        <v>2500</v>
      </c>
      <c r="E10" s="69">
        <v>3000</v>
      </c>
      <c r="F10" s="67">
        <v>550</v>
      </c>
      <c r="G10" s="69">
        <v>0</v>
      </c>
      <c r="H10" s="67">
        <v>550</v>
      </c>
      <c r="I10" s="69">
        <v>0</v>
      </c>
      <c r="J10" s="67">
        <v>550</v>
      </c>
      <c r="K10" s="68">
        <v>0</v>
      </c>
      <c r="L10" s="67">
        <v>550</v>
      </c>
      <c r="M10" s="69"/>
      <c r="N10" s="67">
        <v>550</v>
      </c>
      <c r="O10" s="69"/>
      <c r="P10" s="67">
        <v>550</v>
      </c>
      <c r="Q10" s="69"/>
      <c r="R10" s="67">
        <v>550</v>
      </c>
      <c r="S10" s="69"/>
      <c r="T10" s="67">
        <v>550</v>
      </c>
      <c r="U10" s="68"/>
      <c r="V10" s="67">
        <v>550</v>
      </c>
      <c r="W10" s="69"/>
      <c r="X10" s="67">
        <v>550</v>
      </c>
      <c r="Y10" s="69"/>
      <c r="Z10" s="68">
        <f t="shared" si="0"/>
        <v>10000</v>
      </c>
      <c r="AA10" s="71">
        <f t="shared" si="1"/>
        <v>5000</v>
      </c>
      <c r="AC10" s="71" cm="1">
        <f t="array" aca="1" ref="AC10" ca="1">_xlfn.LET(_xlpm.myRng, OFFSET($B10,0,0,1,2*myMonth-1),
      SUMPRODUCT((MOD(COLUMN(_xlpm.myRng)-COLUMN($B10),2)=0)*_xlpm.myRng)
    )</f>
        <v>6150</v>
      </c>
      <c r="AD10" s="71">
        <f t="shared" si="2"/>
        <v>5000</v>
      </c>
      <c r="AE10" s="93">
        <f t="shared" ca="1" si="3"/>
        <v>-1150</v>
      </c>
      <c r="AG10" s="69" cm="1">
        <f t="array" aca="1" ref="AG10" ca="1">_xlfn.LET(_xlpm.myRng, OFFSET($B10,0,2*(myMonth-1),1,1),
      SUMPRODUCT((MOD(COLUMN(_xlpm.myRng)-COLUMN($B10),2)=0)*_xlpm.myRng)
    )</f>
        <v>550</v>
      </c>
      <c r="AH10" s="71" cm="1">
        <f t="array" aca="1" ref="AH10" ca="1">_xlfn.LET(_xlpm.myRng, OFFSET($C10,0,2*(myMonth-1),1,1),
      SUMPRODUCT((MOD(COLUMN(_xlpm.myRng)-COLUMN($C10),2)=0)*_xlpm.myRng)
    )</f>
        <v>0</v>
      </c>
      <c r="AI10" s="93">
        <f t="shared" ca="1" si="4"/>
        <v>-550</v>
      </c>
      <c r="AJ10" s="25"/>
      <c r="AQ10" s="49"/>
    </row>
    <row r="11" spans="1:43" ht="14.4" x14ac:dyDescent="0.55000000000000004">
      <c r="A11" s="13" t="s">
        <v>92</v>
      </c>
      <c r="B11" s="67"/>
      <c r="C11" s="69"/>
      <c r="D11" s="67"/>
      <c r="E11" s="69"/>
      <c r="F11" s="67"/>
      <c r="G11" s="69"/>
      <c r="H11" s="67"/>
      <c r="I11" s="69"/>
      <c r="J11" s="67"/>
      <c r="K11" s="68"/>
      <c r="L11" s="67"/>
      <c r="M11" s="69"/>
      <c r="N11" s="67"/>
      <c r="O11" s="69"/>
      <c r="P11" s="67"/>
      <c r="Q11" s="69"/>
      <c r="R11" s="67"/>
      <c r="S11" s="69"/>
      <c r="T11" s="67"/>
      <c r="U11" s="68"/>
      <c r="V11" s="67"/>
      <c r="W11" s="69"/>
      <c r="X11" s="67"/>
      <c r="Y11" s="69"/>
      <c r="Z11" s="68">
        <f t="shared" si="0"/>
        <v>0</v>
      </c>
      <c r="AA11" s="69">
        <f t="shared" si="1"/>
        <v>0</v>
      </c>
      <c r="AC11" s="69" cm="1">
        <f t="array" aca="1" ref="AC11" ca="1">_xlfn.LET(_xlpm.myRng, OFFSET($B11,0,0,1,2*myMonth-1),
      SUMPRODUCT((MOD(COLUMN(_xlpm.myRng)-COLUMN($B11),2)=0)*_xlpm.myRng)
    )</f>
        <v>0</v>
      </c>
      <c r="AD11" s="69">
        <f t="shared" si="2"/>
        <v>0</v>
      </c>
      <c r="AE11" s="93">
        <f t="shared" ca="1" si="3"/>
        <v>0</v>
      </c>
      <c r="AG11" s="69" cm="1">
        <f t="array" aca="1" ref="AG11" ca="1">_xlfn.LET(_xlpm.myRng, OFFSET($B11,0,2*(myMonth-1),1,1),
      SUMPRODUCT((MOD(COLUMN(_xlpm.myRng)-COLUMN($B11),2)=0)*_xlpm.myRng)
    )</f>
        <v>0</v>
      </c>
      <c r="AH11" s="71" cm="1">
        <f t="array" aca="1" ref="AH11" ca="1">_xlfn.LET(_xlpm.myRng, OFFSET($C11,0,2*(myMonth-1),1,1),
      SUMPRODUCT((MOD(COLUMN(_xlpm.myRng)-COLUMN($C11),2)=0)*_xlpm.myRng)
    )</f>
        <v>0</v>
      </c>
      <c r="AI11" s="93">
        <f t="shared" ca="1" si="4"/>
        <v>0</v>
      </c>
      <c r="AQ11" s="49"/>
    </row>
    <row r="12" spans="1:43" ht="14.4" x14ac:dyDescent="0.55000000000000004">
      <c r="A12" s="13" t="s">
        <v>93</v>
      </c>
      <c r="B12" s="67"/>
      <c r="C12" s="69"/>
      <c r="D12" s="67"/>
      <c r="E12" s="69"/>
      <c r="F12" s="67"/>
      <c r="G12" s="69"/>
      <c r="H12" s="67"/>
      <c r="I12" s="69"/>
      <c r="J12" s="67"/>
      <c r="K12" s="68"/>
      <c r="L12" s="67"/>
      <c r="M12" s="69"/>
      <c r="N12" s="67"/>
      <c r="O12" s="69"/>
      <c r="P12" s="67"/>
      <c r="Q12" s="69"/>
      <c r="R12" s="67"/>
      <c r="S12" s="69"/>
      <c r="T12" s="67"/>
      <c r="U12" s="68"/>
      <c r="V12" s="67"/>
      <c r="W12" s="69"/>
      <c r="X12" s="67"/>
      <c r="Y12" s="69"/>
      <c r="Z12" s="68">
        <f t="shared" si="0"/>
        <v>0</v>
      </c>
      <c r="AA12" s="69">
        <f t="shared" si="1"/>
        <v>0</v>
      </c>
      <c r="AC12" s="69" cm="1">
        <f t="array" aca="1" ref="AC12" ca="1">_xlfn.LET(_xlpm.myRng, OFFSET($B12,0,0,1,2*myMonth-1),
      SUMPRODUCT((MOD(COLUMN(_xlpm.myRng)-COLUMN($B12),2)=0)*_xlpm.myRng)
    )</f>
        <v>0</v>
      </c>
      <c r="AD12" s="69">
        <f t="shared" si="2"/>
        <v>0</v>
      </c>
      <c r="AE12" s="93">
        <f t="shared" ca="1" si="3"/>
        <v>0</v>
      </c>
      <c r="AG12" s="69" cm="1">
        <f t="array" aca="1" ref="AG12" ca="1">_xlfn.LET(_xlpm.myRng, OFFSET($B12,0,2*(myMonth-1),1,1),
      SUMPRODUCT((MOD(COLUMN(_xlpm.myRng)-COLUMN($B12),2)=0)*_xlpm.myRng)
    )</f>
        <v>0</v>
      </c>
      <c r="AH12" s="71" cm="1">
        <f t="array" aca="1" ref="AH12" ca="1">_xlfn.LET(_xlpm.myRng, OFFSET($C12,0,2*(myMonth-1),1,1),
      SUMPRODUCT((MOD(COLUMN(_xlpm.myRng)-COLUMN($C12),2)=0)*_xlpm.myRng)
    )</f>
        <v>0</v>
      </c>
      <c r="AI12" s="93">
        <f t="shared" ca="1" si="4"/>
        <v>0</v>
      </c>
      <c r="AQ12" s="49"/>
    </row>
    <row r="13" spans="1:43" ht="14.4" x14ac:dyDescent="0.55000000000000004">
      <c r="A13" s="12" t="s">
        <v>94</v>
      </c>
      <c r="B13" s="72">
        <f t="shared" ref="B13:AA13" si="5">SUM(B9:B12)</f>
        <v>2000</v>
      </c>
      <c r="C13" s="74">
        <f t="shared" si="5"/>
        <v>2000</v>
      </c>
      <c r="D13" s="72">
        <f t="shared" si="5"/>
        <v>2500</v>
      </c>
      <c r="E13" s="74">
        <f t="shared" si="5"/>
        <v>3000</v>
      </c>
      <c r="F13" s="72">
        <f t="shared" si="5"/>
        <v>550</v>
      </c>
      <c r="G13" s="74">
        <f t="shared" si="5"/>
        <v>0</v>
      </c>
      <c r="H13" s="72">
        <f t="shared" si="5"/>
        <v>550</v>
      </c>
      <c r="I13" s="74">
        <f t="shared" si="5"/>
        <v>0</v>
      </c>
      <c r="J13" s="72">
        <f t="shared" si="5"/>
        <v>550</v>
      </c>
      <c r="K13" s="73">
        <f t="shared" si="5"/>
        <v>0</v>
      </c>
      <c r="L13" s="72">
        <f t="shared" si="5"/>
        <v>550</v>
      </c>
      <c r="M13" s="74">
        <f t="shared" si="5"/>
        <v>0</v>
      </c>
      <c r="N13" s="72">
        <f t="shared" si="5"/>
        <v>550</v>
      </c>
      <c r="O13" s="74">
        <f t="shared" si="5"/>
        <v>0</v>
      </c>
      <c r="P13" s="72">
        <f t="shared" si="5"/>
        <v>550</v>
      </c>
      <c r="Q13" s="74">
        <f t="shared" si="5"/>
        <v>0</v>
      </c>
      <c r="R13" s="72">
        <f t="shared" si="5"/>
        <v>550</v>
      </c>
      <c r="S13" s="74">
        <f t="shared" si="5"/>
        <v>0</v>
      </c>
      <c r="T13" s="72">
        <f t="shared" si="5"/>
        <v>550</v>
      </c>
      <c r="U13" s="73">
        <f t="shared" si="5"/>
        <v>0</v>
      </c>
      <c r="V13" s="72">
        <f t="shared" si="5"/>
        <v>550</v>
      </c>
      <c r="W13" s="74">
        <f t="shared" si="5"/>
        <v>0</v>
      </c>
      <c r="X13" s="72">
        <f t="shared" si="5"/>
        <v>550</v>
      </c>
      <c r="Y13" s="74">
        <f t="shared" si="5"/>
        <v>0</v>
      </c>
      <c r="Z13" s="73">
        <f t="shared" si="0"/>
        <v>10000</v>
      </c>
      <c r="AA13" s="74">
        <f t="shared" si="5"/>
        <v>5000</v>
      </c>
      <c r="AC13" s="74">
        <f t="shared" ref="AC13" ca="1" si="6">SUM(AC9:AC12)</f>
        <v>6150</v>
      </c>
      <c r="AD13" s="74">
        <f t="shared" si="2"/>
        <v>5000</v>
      </c>
      <c r="AE13" s="72">
        <f t="shared" ca="1" si="3"/>
        <v>-1150</v>
      </c>
      <c r="AG13" s="74">
        <f t="shared" ref="AG13:AH13" ca="1" si="7">SUM(AG9:AG12)</f>
        <v>550</v>
      </c>
      <c r="AH13" s="74">
        <f t="shared" ca="1" si="7"/>
        <v>0</v>
      </c>
      <c r="AI13" s="72">
        <f t="shared" ca="1" si="4"/>
        <v>-550</v>
      </c>
      <c r="AQ13" s="49"/>
    </row>
    <row r="14" spans="1:43" ht="14.4" x14ac:dyDescent="0.55000000000000004">
      <c r="A14" s="13" t="s">
        <v>95</v>
      </c>
      <c r="B14" s="67"/>
      <c r="C14" s="69"/>
      <c r="D14" s="67"/>
      <c r="E14" s="69"/>
      <c r="F14" s="67"/>
      <c r="G14" s="69"/>
      <c r="H14" s="67"/>
      <c r="I14" s="69"/>
      <c r="J14" s="67"/>
      <c r="K14" s="68"/>
      <c r="L14" s="67"/>
      <c r="M14" s="69"/>
      <c r="N14" s="67"/>
      <c r="O14" s="69"/>
      <c r="P14" s="67"/>
      <c r="Q14" s="69"/>
      <c r="R14" s="67"/>
      <c r="S14" s="69"/>
      <c r="T14" s="67"/>
      <c r="U14" s="68"/>
      <c r="V14" s="67"/>
      <c r="W14" s="69"/>
      <c r="X14" s="67"/>
      <c r="Y14" s="69"/>
      <c r="Z14" s="68">
        <f t="shared" si="0"/>
        <v>0</v>
      </c>
      <c r="AA14" s="69">
        <f t="shared" ref="AA14:AA19" si="8">SUM(C14,E14,G14,I14,K14,M14,O14,Q14,S14,U14,W14,Y14)</f>
        <v>0</v>
      </c>
      <c r="AC14" s="69" cm="1">
        <f t="array" aca="1" ref="AC14" ca="1">_xlfn.LET(_xlpm.myRng, OFFSET($B14,0,0,1,2*myMonth-1),
      SUMPRODUCT((MOD(COLUMN(_xlpm.myRng)-COLUMN($B14),2)=0)*_xlpm.myRng)
    )</f>
        <v>0</v>
      </c>
      <c r="AD14" s="69">
        <f t="shared" si="2"/>
        <v>0</v>
      </c>
      <c r="AE14" s="93">
        <f t="shared" ca="1" si="3"/>
        <v>0</v>
      </c>
      <c r="AG14" s="69" cm="1">
        <f t="array" aca="1" ref="AG14" ca="1">_xlfn.LET(_xlpm.myRng, OFFSET($B14,0,2*(myMonth-1),1,1),
      SUMPRODUCT((MOD(COLUMN(_xlpm.myRng)-COLUMN($B14),2)=0)*_xlpm.myRng)
    )</f>
        <v>0</v>
      </c>
      <c r="AH14" s="71" cm="1">
        <f t="array" aca="1" ref="AH14" ca="1">_xlfn.LET(_xlpm.myRng, OFFSET($C14,0,2*(myMonth-1),1,1),
      SUMPRODUCT((MOD(COLUMN(_xlpm.myRng)-COLUMN($C14),2)=0)*_xlpm.myRng)
    )</f>
        <v>0</v>
      </c>
      <c r="AI14" s="93">
        <f t="shared" ca="1" si="4"/>
        <v>0</v>
      </c>
      <c r="AQ14" s="49"/>
    </row>
    <row r="15" spans="1:43" ht="14.4" x14ac:dyDescent="0.55000000000000004">
      <c r="A15" s="13" t="s">
        <v>96</v>
      </c>
      <c r="B15" s="67">
        <v>5</v>
      </c>
      <c r="C15" s="76">
        <v>5</v>
      </c>
      <c r="D15" s="67">
        <v>54</v>
      </c>
      <c r="E15" s="76"/>
      <c r="F15" s="67">
        <v>54</v>
      </c>
      <c r="G15" s="76">
        <v>50</v>
      </c>
      <c r="H15" s="67">
        <v>281.5</v>
      </c>
      <c r="I15" s="76">
        <v>255</v>
      </c>
      <c r="J15" s="67">
        <v>281.5</v>
      </c>
      <c r="K15" s="75">
        <v>565</v>
      </c>
      <c r="L15" s="67">
        <v>54</v>
      </c>
      <c r="M15" s="76"/>
      <c r="N15" s="67">
        <v>54</v>
      </c>
      <c r="O15" s="76"/>
      <c r="P15" s="67">
        <v>281.5</v>
      </c>
      <c r="Q15" s="76"/>
      <c r="R15" s="67">
        <v>281.5</v>
      </c>
      <c r="S15" s="76"/>
      <c r="T15" s="67">
        <v>281.5</v>
      </c>
      <c r="U15" s="75"/>
      <c r="V15" s="67">
        <v>54</v>
      </c>
      <c r="W15" s="76"/>
      <c r="X15" s="67">
        <v>54</v>
      </c>
      <c r="Y15" s="76"/>
      <c r="Z15" s="68">
        <f t="shared" si="0"/>
        <v>1736.5</v>
      </c>
      <c r="AA15" s="76">
        <f t="shared" si="8"/>
        <v>875</v>
      </c>
      <c r="AC15" s="76" cm="1">
        <f t="array" aca="1" ref="AC15" ca="1">_xlfn.LET(_xlpm.myRng, OFFSET($B15,0,0,1,2*myMonth-1),
      SUMPRODUCT((MOD(COLUMN(_xlpm.myRng)-COLUMN($B15),2)=0)*_xlpm.myRng)
    )</f>
        <v>676</v>
      </c>
      <c r="AD15" s="76">
        <f>SUM(C15,E15,G15,I15,K15,M15,O15,Q15,S15,U15,W15)</f>
        <v>875</v>
      </c>
      <c r="AE15" s="93">
        <f t="shared" ca="1" si="3"/>
        <v>199</v>
      </c>
      <c r="AG15" s="69" cm="1">
        <f t="array" aca="1" ref="AG15" ca="1">_xlfn.LET(_xlpm.myRng, OFFSET($B15,0,2*(myMonth-1),1,1),
      SUMPRODUCT((MOD(COLUMN(_xlpm.myRng)-COLUMN($B15),2)=0)*_xlpm.myRng)
    )</f>
        <v>281.5</v>
      </c>
      <c r="AH15" s="71" cm="1">
        <f t="array" aca="1" ref="AH15" ca="1">_xlfn.LET(_xlpm.myRng, OFFSET($C15,0,2*(myMonth-1),1,1),
      SUMPRODUCT((MOD(COLUMN(_xlpm.myRng)-COLUMN($C15),2)=0)*_xlpm.myRng)
    )</f>
        <v>565</v>
      </c>
      <c r="AI15" s="93">
        <f t="shared" ca="1" si="4"/>
        <v>283.5</v>
      </c>
      <c r="AJ15" s="25"/>
      <c r="AQ15" s="56">
        <v>1500</v>
      </c>
    </row>
    <row r="16" spans="1:43" ht="14.4" x14ac:dyDescent="0.55000000000000004">
      <c r="A16" s="13" t="s">
        <v>97</v>
      </c>
      <c r="B16" s="67"/>
      <c r="C16" s="69"/>
      <c r="D16" s="67"/>
      <c r="E16" s="69"/>
      <c r="F16" s="67"/>
      <c r="G16" s="69"/>
      <c r="H16" s="67"/>
      <c r="I16" s="69"/>
      <c r="J16" s="67"/>
      <c r="K16" s="68"/>
      <c r="L16" s="67"/>
      <c r="M16" s="69"/>
      <c r="N16" s="67"/>
      <c r="O16" s="69"/>
      <c r="P16" s="67"/>
      <c r="Q16" s="69"/>
      <c r="R16" s="67"/>
      <c r="S16" s="69"/>
      <c r="T16" s="67"/>
      <c r="U16" s="68"/>
      <c r="V16" s="67"/>
      <c r="W16" s="69"/>
      <c r="X16" s="67"/>
      <c r="Y16" s="69"/>
      <c r="Z16" s="68">
        <f t="shared" si="0"/>
        <v>0</v>
      </c>
      <c r="AA16" s="69">
        <f t="shared" si="8"/>
        <v>0</v>
      </c>
      <c r="AC16" s="69" cm="1">
        <f t="array" aca="1" ref="AC16" ca="1">_xlfn.LET(_xlpm.myRng, OFFSET($B16,0,0,1,2*myMonth-1),
      SUMPRODUCT((MOD(COLUMN(_xlpm.myRng)-COLUMN($B16),2)=0)*_xlpm.myRng)
    )</f>
        <v>0</v>
      </c>
      <c r="AD16" s="69">
        <f t="shared" si="2"/>
        <v>0</v>
      </c>
      <c r="AE16" s="93">
        <f t="shared" ca="1" si="3"/>
        <v>0</v>
      </c>
      <c r="AG16" s="69" cm="1">
        <f t="array" aca="1" ref="AG16" ca="1">_xlfn.LET(_xlpm.myRng, OFFSET($B16,0,2*(myMonth-1),1,1),
      SUMPRODUCT((MOD(COLUMN(_xlpm.myRng)-COLUMN($B16),2)=0)*_xlpm.myRng)
    )</f>
        <v>0</v>
      </c>
      <c r="AH16" s="71" cm="1">
        <f t="array" aca="1" ref="AH16" ca="1">_xlfn.LET(_xlpm.myRng, OFFSET($C16,0,2*(myMonth-1),1,1),
      SUMPRODUCT((MOD(COLUMN(_xlpm.myRng)-COLUMN($C16),2)=0)*_xlpm.myRng)
    )</f>
        <v>0</v>
      </c>
      <c r="AI16" s="93">
        <f t="shared" ca="1" si="4"/>
        <v>0</v>
      </c>
      <c r="AJ16" s="33"/>
      <c r="AQ16" s="49"/>
    </row>
    <row r="17" spans="1:43" ht="14.4" x14ac:dyDescent="0.55000000000000004">
      <c r="A17" s="13" t="s">
        <v>98</v>
      </c>
      <c r="B17" s="67">
        <v>1925</v>
      </c>
      <c r="C17" s="69">
        <v>1925</v>
      </c>
      <c r="D17" s="67">
        <v>5365</v>
      </c>
      <c r="E17" s="117">
        <v>3090</v>
      </c>
      <c r="F17" s="67"/>
      <c r="G17" s="69">
        <v>175</v>
      </c>
      <c r="H17" s="67"/>
      <c r="I17" s="69"/>
      <c r="J17" s="67"/>
      <c r="K17" s="68"/>
      <c r="L17" s="67"/>
      <c r="M17" s="69"/>
      <c r="N17" s="67"/>
      <c r="O17" s="69"/>
      <c r="P17" s="67"/>
      <c r="Q17" s="69"/>
      <c r="R17" s="67"/>
      <c r="S17" s="69"/>
      <c r="T17" s="67"/>
      <c r="U17" s="68"/>
      <c r="V17" s="67"/>
      <c r="W17" s="69"/>
      <c r="X17" s="67"/>
      <c r="Y17" s="69"/>
      <c r="Z17" s="68">
        <f t="shared" si="0"/>
        <v>7290</v>
      </c>
      <c r="AA17" s="69">
        <f t="shared" si="8"/>
        <v>5190</v>
      </c>
      <c r="AC17" s="69" cm="1">
        <f t="array" aca="1" ref="AC17" ca="1">_xlfn.LET(_xlpm.myRng, OFFSET($B17,0,0,1,2*myMonth-1),
      SUMPRODUCT((MOD(COLUMN(_xlpm.myRng)-COLUMN($B17),2)=0)*_xlpm.myRng)
    )</f>
        <v>7290</v>
      </c>
      <c r="AD17" s="69">
        <f t="shared" si="2"/>
        <v>5190</v>
      </c>
      <c r="AE17" s="93">
        <f t="shared" ca="1" si="3"/>
        <v>-2100</v>
      </c>
      <c r="AG17" s="69" cm="1">
        <f t="array" aca="1" ref="AG17" ca="1">_xlfn.LET(_xlpm.myRng, OFFSET($B17,0,2*(myMonth-1),1,1),
      SUMPRODUCT((MOD(COLUMN(_xlpm.myRng)-COLUMN($B17),2)=0)*_xlpm.myRng)
    )</f>
        <v>0</v>
      </c>
      <c r="AH17" s="71" cm="1">
        <f t="array" aca="1" ref="AH17" ca="1">_xlfn.LET(_xlpm.myRng, OFFSET($C17,0,2*(myMonth-1),1,1),
      SUMPRODUCT((MOD(COLUMN(_xlpm.myRng)-COLUMN($C17),2)=0)*_xlpm.myRng)
    )</f>
        <v>0</v>
      </c>
      <c r="AI17" s="93">
        <f t="shared" ca="1" si="4"/>
        <v>0</v>
      </c>
      <c r="AQ17" s="49"/>
    </row>
    <row r="18" spans="1:43" ht="14.4" x14ac:dyDescent="0.55000000000000004">
      <c r="A18" s="13" t="s">
        <v>99</v>
      </c>
      <c r="B18" s="67"/>
      <c r="C18" s="69"/>
      <c r="D18" s="67"/>
      <c r="E18" s="69"/>
      <c r="F18" s="67"/>
      <c r="G18" s="69"/>
      <c r="H18" s="67"/>
      <c r="I18" s="69"/>
      <c r="J18" s="67"/>
      <c r="K18" s="68"/>
      <c r="L18" s="67"/>
      <c r="M18" s="69"/>
      <c r="N18" s="67"/>
      <c r="O18" s="69"/>
      <c r="P18" s="67"/>
      <c r="Q18" s="69"/>
      <c r="R18" s="67"/>
      <c r="S18" s="69"/>
      <c r="T18" s="67"/>
      <c r="U18" s="68"/>
      <c r="V18" s="67"/>
      <c r="W18" s="69"/>
      <c r="X18" s="67"/>
      <c r="Y18" s="69"/>
      <c r="Z18" s="68">
        <f t="shared" si="0"/>
        <v>0</v>
      </c>
      <c r="AA18" s="69">
        <f t="shared" si="8"/>
        <v>0</v>
      </c>
      <c r="AC18" s="69" cm="1">
        <f t="array" aca="1" ref="AC18" ca="1">_xlfn.LET(_xlpm.myRng, OFFSET($B18,0,0,1,2*myMonth-1),
      SUMPRODUCT((MOD(COLUMN(_xlpm.myRng)-COLUMN($B18),2)=0)*_xlpm.myRng)
    )</f>
        <v>0</v>
      </c>
      <c r="AD18" s="69">
        <f t="shared" si="2"/>
        <v>0</v>
      </c>
      <c r="AE18" s="93">
        <f t="shared" ca="1" si="3"/>
        <v>0</v>
      </c>
      <c r="AG18" s="69" cm="1">
        <f t="array" aca="1" ref="AG18" ca="1">_xlfn.LET(_xlpm.myRng, OFFSET($B18,0,2*(myMonth-1),1,1),
      SUMPRODUCT((MOD(COLUMN(_xlpm.myRng)-COLUMN($B18),2)=0)*_xlpm.myRng)
    )</f>
        <v>0</v>
      </c>
      <c r="AH18" s="71" cm="1">
        <f t="array" aca="1" ref="AH18" ca="1">_xlfn.LET(_xlpm.myRng, OFFSET($C18,0,2*(myMonth-1),1,1),
      SUMPRODUCT((MOD(COLUMN(_xlpm.myRng)-COLUMN($C18),2)=0)*_xlpm.myRng)
    )</f>
        <v>0</v>
      </c>
      <c r="AI18" s="93">
        <f t="shared" ca="1" si="4"/>
        <v>0</v>
      </c>
      <c r="AQ18" s="49"/>
    </row>
    <row r="19" spans="1:43" ht="14.4" x14ac:dyDescent="0.55000000000000004">
      <c r="A19" s="13" t="s">
        <v>100</v>
      </c>
      <c r="B19" s="67"/>
      <c r="C19" s="69"/>
      <c r="D19" s="67"/>
      <c r="E19" s="69"/>
      <c r="F19" s="67"/>
      <c r="G19" s="69"/>
      <c r="H19" s="67"/>
      <c r="I19" s="69"/>
      <c r="J19" s="67"/>
      <c r="K19" s="68"/>
      <c r="L19" s="67"/>
      <c r="M19" s="69"/>
      <c r="N19" s="67"/>
      <c r="O19" s="69"/>
      <c r="P19" s="67"/>
      <c r="Q19" s="69"/>
      <c r="R19" s="67"/>
      <c r="S19" s="69"/>
      <c r="T19" s="67"/>
      <c r="U19" s="68"/>
      <c r="V19" s="67"/>
      <c r="W19" s="69"/>
      <c r="X19" s="67"/>
      <c r="Y19" s="69"/>
      <c r="Z19" s="68">
        <f t="shared" si="0"/>
        <v>0</v>
      </c>
      <c r="AA19" s="69">
        <f t="shared" si="8"/>
        <v>0</v>
      </c>
      <c r="AC19" s="69" cm="1">
        <f t="array" aca="1" ref="AC19" ca="1">_xlfn.LET(_xlpm.myRng, OFFSET($B19,0,0,1,2*myMonth-1),
      SUMPRODUCT((MOD(COLUMN(_xlpm.myRng)-COLUMN($B19),2)=0)*_xlpm.myRng)
    )</f>
        <v>0</v>
      </c>
      <c r="AD19" s="69">
        <f t="shared" si="2"/>
        <v>0</v>
      </c>
      <c r="AE19" s="93">
        <f t="shared" ca="1" si="3"/>
        <v>0</v>
      </c>
      <c r="AG19" s="69" cm="1">
        <f t="array" aca="1" ref="AG19" ca="1">_xlfn.LET(_xlpm.myRng, OFFSET($B19,0,2*(myMonth-1),1,1),
      SUMPRODUCT((MOD(COLUMN(_xlpm.myRng)-COLUMN($B19),2)=0)*_xlpm.myRng)
    )</f>
        <v>0</v>
      </c>
      <c r="AH19" s="71" cm="1">
        <f t="array" aca="1" ref="AH19" ca="1">_xlfn.LET(_xlpm.myRng, OFFSET($C19,0,2*(myMonth-1),1,1),
      SUMPRODUCT((MOD(COLUMN(_xlpm.myRng)-COLUMN($C19),2)=0)*_xlpm.myRng)
    )</f>
        <v>0</v>
      </c>
      <c r="AI19" s="93">
        <f t="shared" ca="1" si="4"/>
        <v>0</v>
      </c>
      <c r="AQ19" s="49"/>
    </row>
    <row r="20" spans="1:43" ht="14.4" x14ac:dyDescent="0.55000000000000004">
      <c r="A20" s="12" t="s">
        <v>101</v>
      </c>
      <c r="B20" s="72">
        <f t="shared" ref="B20:AA20" si="9">SUM(B14:B19)</f>
        <v>1930</v>
      </c>
      <c r="C20" s="74">
        <f t="shared" si="9"/>
        <v>1930</v>
      </c>
      <c r="D20" s="72">
        <f t="shared" si="9"/>
        <v>5419</v>
      </c>
      <c r="E20" s="74">
        <f t="shared" si="9"/>
        <v>3090</v>
      </c>
      <c r="F20" s="72">
        <f t="shared" si="9"/>
        <v>54</v>
      </c>
      <c r="G20" s="74">
        <f t="shared" si="9"/>
        <v>225</v>
      </c>
      <c r="H20" s="72">
        <f t="shared" si="9"/>
        <v>281.5</v>
      </c>
      <c r="I20" s="74">
        <f t="shared" si="9"/>
        <v>255</v>
      </c>
      <c r="J20" s="72">
        <f t="shared" si="9"/>
        <v>281.5</v>
      </c>
      <c r="K20" s="73">
        <f t="shared" si="9"/>
        <v>565</v>
      </c>
      <c r="L20" s="72">
        <f t="shared" si="9"/>
        <v>54</v>
      </c>
      <c r="M20" s="74">
        <f t="shared" si="9"/>
        <v>0</v>
      </c>
      <c r="N20" s="72">
        <f t="shared" si="9"/>
        <v>54</v>
      </c>
      <c r="O20" s="74">
        <f t="shared" si="9"/>
        <v>0</v>
      </c>
      <c r="P20" s="72">
        <f t="shared" si="9"/>
        <v>281.5</v>
      </c>
      <c r="Q20" s="74">
        <f t="shared" si="9"/>
        <v>0</v>
      </c>
      <c r="R20" s="72">
        <f t="shared" si="9"/>
        <v>281.5</v>
      </c>
      <c r="S20" s="74">
        <f t="shared" si="9"/>
        <v>0</v>
      </c>
      <c r="T20" s="72">
        <f t="shared" si="9"/>
        <v>281.5</v>
      </c>
      <c r="U20" s="73">
        <f t="shared" si="9"/>
        <v>0</v>
      </c>
      <c r="V20" s="72">
        <f t="shared" si="9"/>
        <v>54</v>
      </c>
      <c r="W20" s="74">
        <f t="shared" si="9"/>
        <v>0</v>
      </c>
      <c r="X20" s="72">
        <f t="shared" si="9"/>
        <v>54</v>
      </c>
      <c r="Y20" s="74">
        <f t="shared" si="9"/>
        <v>0</v>
      </c>
      <c r="Z20" s="73">
        <f t="shared" si="0"/>
        <v>9026.5</v>
      </c>
      <c r="AA20" s="74">
        <f t="shared" si="9"/>
        <v>6065</v>
      </c>
      <c r="AC20" s="74">
        <f t="shared" ref="AC20" ca="1" si="10">SUM(AC14:AC19)</f>
        <v>7966</v>
      </c>
      <c r="AD20" s="74">
        <f t="shared" si="2"/>
        <v>6065</v>
      </c>
      <c r="AE20" s="72">
        <f t="shared" ca="1" si="3"/>
        <v>-1901</v>
      </c>
      <c r="AG20" s="74">
        <f t="shared" ref="AG20:AH20" ca="1" si="11">SUM(AG14:AG19)</f>
        <v>281.5</v>
      </c>
      <c r="AH20" s="74">
        <f t="shared" ca="1" si="11"/>
        <v>565</v>
      </c>
      <c r="AI20" s="72">
        <f t="shared" ca="1" si="4"/>
        <v>283.5</v>
      </c>
      <c r="AQ20" s="49"/>
    </row>
    <row r="21" spans="1:43" ht="14.4" x14ac:dyDescent="0.55000000000000004">
      <c r="A21" s="13" t="s">
        <v>102</v>
      </c>
      <c r="B21" s="67"/>
      <c r="C21" s="69"/>
      <c r="D21" s="67">
        <v>200</v>
      </c>
      <c r="E21" s="69">
        <v>200</v>
      </c>
      <c r="F21" s="67"/>
      <c r="G21" s="69"/>
      <c r="H21" s="67"/>
      <c r="I21" s="69"/>
      <c r="J21" s="67"/>
      <c r="K21" s="68"/>
      <c r="L21" s="67"/>
      <c r="M21" s="69"/>
      <c r="N21" s="67"/>
      <c r="O21" s="69"/>
      <c r="P21" s="67"/>
      <c r="Q21" s="69"/>
      <c r="R21" s="67">
        <v>600</v>
      </c>
      <c r="S21" s="69"/>
      <c r="T21" s="67">
        <v>400</v>
      </c>
      <c r="U21" s="68"/>
      <c r="V21" s="67"/>
      <c r="W21" s="69"/>
      <c r="X21" s="67"/>
      <c r="Y21" s="69"/>
      <c r="Z21" s="68">
        <f t="shared" si="0"/>
        <v>1200</v>
      </c>
      <c r="AA21" s="69">
        <f t="shared" ref="AA21:AA26" si="12">SUM(C21,E21,G21,I21,K21,M21,O21,Q21,S21,U21,W21,Y21)</f>
        <v>200</v>
      </c>
      <c r="AC21" s="69" cm="1">
        <f t="array" aca="1" ref="AC21" ca="1">_xlfn.LET(_xlpm.myRng, OFFSET($B21,0,0,1,2*myMonth-1),
      SUMPRODUCT((MOD(COLUMN(_xlpm.myRng)-COLUMN($B21),2)=0)*_xlpm.myRng)
    )</f>
        <v>200</v>
      </c>
      <c r="AD21" s="69">
        <f t="shared" si="2"/>
        <v>200</v>
      </c>
      <c r="AE21" s="93">
        <f t="shared" ca="1" si="3"/>
        <v>0</v>
      </c>
      <c r="AG21" s="69" cm="1">
        <f t="array" aca="1" ref="AG21" ca="1">_xlfn.LET(_xlpm.myRng, OFFSET($B21,0,2*(myMonth-1),1,1),
      SUMPRODUCT((MOD(COLUMN(_xlpm.myRng)-COLUMN($B21),2)=0)*_xlpm.myRng)
    )</f>
        <v>0</v>
      </c>
      <c r="AH21" s="71" cm="1">
        <f t="array" aca="1" ref="AH21" ca="1">_xlfn.LET(_xlpm.myRng, OFFSET($C21,0,2*(myMonth-1),1,1),
      SUMPRODUCT((MOD(COLUMN(_xlpm.myRng)-COLUMN($C21),2)=0)*_xlpm.myRng)
    )</f>
        <v>0</v>
      </c>
      <c r="AI21" s="93">
        <f t="shared" ca="1" si="4"/>
        <v>0</v>
      </c>
      <c r="AJ21" s="36" t="s">
        <v>103</v>
      </c>
      <c r="AQ21" s="49"/>
    </row>
    <row r="22" spans="1:43" ht="14.4" x14ac:dyDescent="0.55000000000000004">
      <c r="A22" s="13" t="s">
        <v>104</v>
      </c>
      <c r="B22" s="67">
        <v>292.5</v>
      </c>
      <c r="C22" s="76">
        <v>292.5</v>
      </c>
      <c r="D22" s="67">
        <v>225</v>
      </c>
      <c r="E22" s="76">
        <v>150</v>
      </c>
      <c r="F22" s="67">
        <v>225</v>
      </c>
      <c r="G22" s="76">
        <v>225</v>
      </c>
      <c r="H22" s="67">
        <v>150</v>
      </c>
      <c r="I22" s="76">
        <v>142.5</v>
      </c>
      <c r="J22" s="67">
        <v>150</v>
      </c>
      <c r="K22" s="75">
        <v>170</v>
      </c>
      <c r="L22" s="67">
        <v>225</v>
      </c>
      <c r="M22" s="71"/>
      <c r="N22" s="67">
        <v>150</v>
      </c>
      <c r="O22" s="76"/>
      <c r="P22" s="67">
        <v>150</v>
      </c>
      <c r="Q22" s="76"/>
      <c r="R22" s="67">
        <v>150</v>
      </c>
      <c r="S22" s="76"/>
      <c r="T22" s="67">
        <v>150</v>
      </c>
      <c r="U22" s="75"/>
      <c r="V22" s="67">
        <v>150</v>
      </c>
      <c r="W22" s="76"/>
      <c r="X22" s="67"/>
      <c r="Y22" s="76"/>
      <c r="Z22" s="68">
        <f t="shared" si="0"/>
        <v>2017.5</v>
      </c>
      <c r="AA22" s="76">
        <f t="shared" si="12"/>
        <v>980</v>
      </c>
      <c r="AC22" s="69" cm="1">
        <f t="array" aca="1" ref="AC22" ca="1">_xlfn.LET(_xlpm.myRng, OFFSET($B22,0,0,1,2*myMonth-1),
      SUMPRODUCT((MOD(COLUMN(_xlpm.myRng)-COLUMN($B22),2)=0)*_xlpm.myRng)
    )</f>
        <v>1042.5</v>
      </c>
      <c r="AD22" s="69">
        <f t="shared" si="2"/>
        <v>980</v>
      </c>
      <c r="AE22" s="93">
        <f t="shared" ca="1" si="3"/>
        <v>-62.5</v>
      </c>
      <c r="AG22" s="69" cm="1">
        <f t="array" aca="1" ref="AG22" ca="1">_xlfn.LET(_xlpm.myRng, OFFSET($B22,0,2*(myMonth-1),1,1),
      SUMPRODUCT((MOD(COLUMN(_xlpm.myRng)-COLUMN($B22),2)=0)*_xlpm.myRng)
    )</f>
        <v>150</v>
      </c>
      <c r="AH22" s="71" cm="1">
        <f t="array" aca="1" ref="AH22" ca="1">_xlfn.LET(_xlpm.myRng, OFFSET($C22,0,2*(myMonth-1),1,1),
      SUMPRODUCT((MOD(COLUMN(_xlpm.myRng)-COLUMN($C22),2)=0)*_xlpm.myRng)
    )</f>
        <v>170</v>
      </c>
      <c r="AI22" s="93">
        <f t="shared" ca="1" si="4"/>
        <v>20</v>
      </c>
      <c r="AJ22" s="36" t="s">
        <v>105</v>
      </c>
      <c r="AL22" s="25"/>
      <c r="AM22" s="25"/>
      <c r="AQ22" s="49" t="s">
        <v>106</v>
      </c>
    </row>
    <row r="23" spans="1:43" ht="14.4" x14ac:dyDescent="0.55000000000000004">
      <c r="A23" s="13" t="s">
        <v>107</v>
      </c>
      <c r="B23" s="67"/>
      <c r="C23" s="71"/>
      <c r="D23" s="67"/>
      <c r="E23" s="69"/>
      <c r="F23" s="67">
        <v>60</v>
      </c>
      <c r="G23" s="69">
        <v>0</v>
      </c>
      <c r="H23" s="67"/>
      <c r="I23" s="69">
        <v>180</v>
      </c>
      <c r="J23" s="67"/>
      <c r="K23" s="68"/>
      <c r="L23" s="67"/>
      <c r="M23" s="71"/>
      <c r="N23" s="67">
        <v>60</v>
      </c>
      <c r="O23" s="69"/>
      <c r="P23" s="67"/>
      <c r="Q23" s="69"/>
      <c r="R23" s="67"/>
      <c r="S23" s="69"/>
      <c r="T23" s="67"/>
      <c r="U23" s="68"/>
      <c r="V23" s="67">
        <v>60</v>
      </c>
      <c r="W23" s="69"/>
      <c r="X23" s="67"/>
      <c r="Y23" s="69"/>
      <c r="Z23" s="68">
        <f t="shared" si="0"/>
        <v>180</v>
      </c>
      <c r="AA23" s="76">
        <f t="shared" si="12"/>
        <v>180</v>
      </c>
      <c r="AC23" s="69" cm="1">
        <f t="array" aca="1" ref="AC23" ca="1">_xlfn.LET(_xlpm.myRng, OFFSET($B23,0,0,1,2*myMonth-1),
      SUMPRODUCT((MOD(COLUMN(_xlpm.myRng)-COLUMN($B23),2)=0)*_xlpm.myRng)
    )</f>
        <v>60</v>
      </c>
      <c r="AD23" s="69">
        <f t="shared" si="2"/>
        <v>180</v>
      </c>
      <c r="AE23" s="93">
        <f t="shared" ca="1" si="3"/>
        <v>120</v>
      </c>
      <c r="AG23" s="69" cm="1">
        <f t="array" aca="1" ref="AG23" ca="1">_xlfn.LET(_xlpm.myRng, OFFSET($B23,0,2*(myMonth-1),1,1),
      SUMPRODUCT((MOD(COLUMN(_xlpm.myRng)-COLUMN($B23),2)=0)*_xlpm.myRng)
    )</f>
        <v>0</v>
      </c>
      <c r="AH23" s="71" cm="1">
        <f t="array" aca="1" ref="AH23" ca="1">_xlfn.LET(_xlpm.myRng, OFFSET($C23,0,2*(myMonth-1),1,1),
      SUMPRODUCT((MOD(COLUMN(_xlpm.myRng)-COLUMN($C23),2)=0)*_xlpm.myRng)
    )</f>
        <v>0</v>
      </c>
      <c r="AI23" s="93">
        <f t="shared" ca="1" si="4"/>
        <v>0</v>
      </c>
      <c r="AJ23" s="36" t="s">
        <v>108</v>
      </c>
      <c r="AM23" s="25"/>
      <c r="AQ23" s="49" t="s">
        <v>109</v>
      </c>
    </row>
    <row r="24" spans="1:43" ht="14.4" x14ac:dyDescent="0.55000000000000004">
      <c r="A24" s="13" t="s">
        <v>110</v>
      </c>
      <c r="B24" s="67">
        <v>301.85000000000002</v>
      </c>
      <c r="C24" s="69">
        <v>301.85000000000002</v>
      </c>
      <c r="D24" s="67">
        <v>300</v>
      </c>
      <c r="E24" s="69">
        <v>75</v>
      </c>
      <c r="F24" s="67">
        <v>225</v>
      </c>
      <c r="G24" s="69">
        <v>150</v>
      </c>
      <c r="H24" s="67">
        <v>225</v>
      </c>
      <c r="I24" s="69">
        <v>300</v>
      </c>
      <c r="J24" s="67">
        <v>150</v>
      </c>
      <c r="K24" s="68">
        <v>75</v>
      </c>
      <c r="L24" s="67">
        <v>450</v>
      </c>
      <c r="M24" s="71"/>
      <c r="N24" s="67">
        <v>300</v>
      </c>
      <c r="O24" s="69"/>
      <c r="P24" s="67">
        <v>150</v>
      </c>
      <c r="Q24" s="69"/>
      <c r="R24" s="67">
        <v>300</v>
      </c>
      <c r="S24" s="69"/>
      <c r="T24" s="67">
        <v>150</v>
      </c>
      <c r="U24" s="68"/>
      <c r="V24" s="67">
        <v>300</v>
      </c>
      <c r="W24" s="69"/>
      <c r="X24" s="67">
        <v>150</v>
      </c>
      <c r="Y24" s="69"/>
      <c r="Z24" s="68">
        <f t="shared" si="0"/>
        <v>3001.85</v>
      </c>
      <c r="AA24" s="69">
        <f t="shared" si="12"/>
        <v>901.85</v>
      </c>
      <c r="AC24" s="69" cm="1">
        <f t="array" aca="1" ref="AC24" ca="1">_xlfn.LET(_xlpm.myRng, OFFSET($B24,0,0,1,2*myMonth-1),
      SUMPRODUCT((MOD(COLUMN(_xlpm.myRng)-COLUMN($B24),2)=0)*_xlpm.myRng)
    )</f>
        <v>1201.8499999999999</v>
      </c>
      <c r="AD24" s="69">
        <f t="shared" si="2"/>
        <v>901.85</v>
      </c>
      <c r="AE24" s="93">
        <f t="shared" ca="1" si="3"/>
        <v>-299.99999999999989</v>
      </c>
      <c r="AG24" s="69" cm="1">
        <f t="array" aca="1" ref="AG24" ca="1">_xlfn.LET(_xlpm.myRng, OFFSET($B24,0,2*(myMonth-1),1,1),
      SUMPRODUCT((MOD(COLUMN(_xlpm.myRng)-COLUMN($B24),2)=0)*_xlpm.myRng)
    )</f>
        <v>150</v>
      </c>
      <c r="AH24" s="71" cm="1">
        <f t="array" aca="1" ref="AH24" ca="1">_xlfn.LET(_xlpm.myRng, OFFSET($C24,0,2*(myMonth-1),1,1),
      SUMPRODUCT((MOD(COLUMN(_xlpm.myRng)-COLUMN($C24),2)=0)*_xlpm.myRng)
    )</f>
        <v>75</v>
      </c>
      <c r="AI24" s="93">
        <f t="shared" ca="1" si="4"/>
        <v>-75</v>
      </c>
      <c r="AJ24" s="36" t="s">
        <v>111</v>
      </c>
      <c r="AM24" s="25"/>
      <c r="AQ24" s="49" t="s">
        <v>112</v>
      </c>
    </row>
    <row r="25" spans="1:43" ht="14.4" x14ac:dyDescent="0.55000000000000004">
      <c r="A25" s="13" t="s">
        <v>113</v>
      </c>
      <c r="B25" s="67"/>
      <c r="C25" s="69"/>
      <c r="D25" s="67"/>
      <c r="E25" s="69"/>
      <c r="F25" s="67"/>
      <c r="G25" s="69"/>
      <c r="H25" s="67"/>
      <c r="I25" s="69"/>
      <c r="J25" s="67"/>
      <c r="K25" s="68"/>
      <c r="L25" s="67"/>
      <c r="M25" s="69"/>
      <c r="N25" s="67"/>
      <c r="O25" s="69"/>
      <c r="P25" s="67"/>
      <c r="Q25" s="69"/>
      <c r="R25" s="67"/>
      <c r="S25" s="69"/>
      <c r="T25" s="67"/>
      <c r="U25" s="68"/>
      <c r="V25" s="67"/>
      <c r="W25" s="69"/>
      <c r="X25" s="67"/>
      <c r="Y25" s="69"/>
      <c r="Z25" s="68">
        <f t="shared" si="0"/>
        <v>0</v>
      </c>
      <c r="AA25" s="69">
        <f t="shared" si="12"/>
        <v>0</v>
      </c>
      <c r="AC25" s="69" cm="1">
        <f t="array" aca="1" ref="AC25" ca="1">_xlfn.LET(_xlpm.myRng, OFFSET($B25,0,0,1,2*myMonth-1),
      SUMPRODUCT((MOD(COLUMN(_xlpm.myRng)-COLUMN($B25),2)=0)*_xlpm.myRng)
    )</f>
        <v>0</v>
      </c>
      <c r="AD25" s="69">
        <f t="shared" si="2"/>
        <v>0</v>
      </c>
      <c r="AE25" s="93">
        <f t="shared" ca="1" si="3"/>
        <v>0</v>
      </c>
      <c r="AG25" s="69" cm="1">
        <f t="array" aca="1" ref="AG25" ca="1">_xlfn.LET(_xlpm.myRng, OFFSET($B25,0,2*(myMonth-1),1,1),
      SUMPRODUCT((MOD(COLUMN(_xlpm.myRng)-COLUMN($B25),2)=0)*_xlpm.myRng)
    )</f>
        <v>0</v>
      </c>
      <c r="AH25" s="71" cm="1">
        <f t="array" aca="1" ref="AH25" ca="1">_xlfn.LET(_xlpm.myRng, OFFSET($C25,0,2*(myMonth-1),1,1),
      SUMPRODUCT((MOD(COLUMN(_xlpm.myRng)-COLUMN($C25),2)=0)*_xlpm.myRng)
    )</f>
        <v>0</v>
      </c>
      <c r="AI25" s="93">
        <f t="shared" ca="1" si="4"/>
        <v>0</v>
      </c>
      <c r="AQ25" s="49"/>
    </row>
    <row r="26" spans="1:43" ht="14.4" x14ac:dyDescent="0.55000000000000004">
      <c r="A26" s="13" t="s">
        <v>114</v>
      </c>
      <c r="B26" s="67">
        <v>45</v>
      </c>
      <c r="C26" s="69">
        <v>45</v>
      </c>
      <c r="D26" s="67"/>
      <c r="E26" s="69"/>
      <c r="F26" s="67"/>
      <c r="G26" s="69"/>
      <c r="H26" s="67"/>
      <c r="I26" s="69"/>
      <c r="J26" s="67"/>
      <c r="K26" s="68"/>
      <c r="L26" s="67"/>
      <c r="M26" s="69"/>
      <c r="N26" s="67"/>
      <c r="O26" s="69"/>
      <c r="P26" s="67"/>
      <c r="Q26" s="69"/>
      <c r="R26" s="67">
        <v>40</v>
      </c>
      <c r="S26" s="69"/>
      <c r="T26" s="67">
        <v>40</v>
      </c>
      <c r="U26" s="68"/>
      <c r="V26" s="67"/>
      <c r="W26" s="69"/>
      <c r="X26" s="67"/>
      <c r="Y26" s="69"/>
      <c r="Z26" s="68">
        <f t="shared" si="0"/>
        <v>125</v>
      </c>
      <c r="AA26" s="69">
        <f t="shared" si="12"/>
        <v>45</v>
      </c>
      <c r="AC26" s="69" cm="1">
        <f t="array" aca="1" ref="AC26" ca="1">_xlfn.LET(_xlpm.myRng, OFFSET($B26,0,0,1,2*myMonth-1),
      SUMPRODUCT((MOD(COLUMN(_xlpm.myRng)-COLUMN($B26),2)=0)*_xlpm.myRng)
    )</f>
        <v>45</v>
      </c>
      <c r="AD26" s="69">
        <f t="shared" si="2"/>
        <v>45</v>
      </c>
      <c r="AE26" s="93">
        <f t="shared" ca="1" si="3"/>
        <v>0</v>
      </c>
      <c r="AG26" s="69" cm="1">
        <f t="array" aca="1" ref="AG26" ca="1">_xlfn.LET(_xlpm.myRng, OFFSET($B26,0,2*(myMonth-1),1,1),
      SUMPRODUCT((MOD(COLUMN(_xlpm.myRng)-COLUMN($B26),2)=0)*_xlpm.myRng)
    )</f>
        <v>0</v>
      </c>
      <c r="AH26" s="71" cm="1">
        <f t="array" aca="1" ref="AH26" ca="1">_xlfn.LET(_xlpm.myRng, OFFSET($C26,0,2*(myMonth-1),1,1),
      SUMPRODUCT((MOD(COLUMN(_xlpm.myRng)-COLUMN($C26),2)=0)*_xlpm.myRng)
    )</f>
        <v>0</v>
      </c>
      <c r="AI26" s="93">
        <f t="shared" ca="1" si="4"/>
        <v>0</v>
      </c>
      <c r="AJ26" s="36" t="s">
        <v>115</v>
      </c>
      <c r="AQ26" s="49" t="s">
        <v>116</v>
      </c>
    </row>
    <row r="27" spans="1:43" ht="14.4" x14ac:dyDescent="0.55000000000000004">
      <c r="A27" s="12" t="s">
        <v>117</v>
      </c>
      <c r="B27" s="72">
        <f t="shared" ref="B27:AA27" si="13">SUM(B21:B26)</f>
        <v>639.35</v>
      </c>
      <c r="C27" s="74">
        <f t="shared" si="13"/>
        <v>639.35</v>
      </c>
      <c r="D27" s="72">
        <f t="shared" si="13"/>
        <v>725</v>
      </c>
      <c r="E27" s="74">
        <f t="shared" si="13"/>
        <v>425</v>
      </c>
      <c r="F27" s="72">
        <f t="shared" si="13"/>
        <v>510</v>
      </c>
      <c r="G27" s="74">
        <f t="shared" si="13"/>
        <v>375</v>
      </c>
      <c r="H27" s="72">
        <f t="shared" si="13"/>
        <v>375</v>
      </c>
      <c r="I27" s="74">
        <f t="shared" si="13"/>
        <v>622.5</v>
      </c>
      <c r="J27" s="72">
        <f t="shared" si="13"/>
        <v>300</v>
      </c>
      <c r="K27" s="73">
        <f t="shared" si="13"/>
        <v>245</v>
      </c>
      <c r="L27" s="72">
        <f t="shared" si="13"/>
        <v>675</v>
      </c>
      <c r="M27" s="74">
        <f t="shared" si="13"/>
        <v>0</v>
      </c>
      <c r="N27" s="72">
        <f t="shared" si="13"/>
        <v>510</v>
      </c>
      <c r="O27" s="74">
        <f t="shared" si="13"/>
        <v>0</v>
      </c>
      <c r="P27" s="72">
        <f t="shared" si="13"/>
        <v>300</v>
      </c>
      <c r="Q27" s="74">
        <f t="shared" si="13"/>
        <v>0</v>
      </c>
      <c r="R27" s="72">
        <f t="shared" si="13"/>
        <v>1090</v>
      </c>
      <c r="S27" s="74">
        <f t="shared" si="13"/>
        <v>0</v>
      </c>
      <c r="T27" s="72">
        <f t="shared" si="13"/>
        <v>740</v>
      </c>
      <c r="U27" s="73">
        <f t="shared" si="13"/>
        <v>0</v>
      </c>
      <c r="V27" s="72">
        <f t="shared" si="13"/>
        <v>510</v>
      </c>
      <c r="W27" s="74">
        <f t="shared" si="13"/>
        <v>0</v>
      </c>
      <c r="X27" s="72">
        <f t="shared" si="13"/>
        <v>150</v>
      </c>
      <c r="Y27" s="74">
        <f t="shared" si="13"/>
        <v>0</v>
      </c>
      <c r="Z27" s="73">
        <f t="shared" si="0"/>
        <v>6524.35</v>
      </c>
      <c r="AA27" s="74">
        <f t="shared" si="13"/>
        <v>2306.85</v>
      </c>
      <c r="AC27" s="74">
        <f t="shared" ref="AC27" ca="1" si="14">SUM(AC21:AC26)</f>
        <v>2549.35</v>
      </c>
      <c r="AD27" s="74">
        <f t="shared" si="2"/>
        <v>2306.85</v>
      </c>
      <c r="AE27" s="72">
        <f t="shared" ca="1" si="3"/>
        <v>-242.5</v>
      </c>
      <c r="AG27" s="74">
        <f t="shared" ref="AG27:AH27" ca="1" si="15">SUM(AG21:AG26)</f>
        <v>300</v>
      </c>
      <c r="AH27" s="74">
        <f t="shared" ca="1" si="15"/>
        <v>245</v>
      </c>
      <c r="AI27" s="72">
        <f t="shared" ca="1" si="4"/>
        <v>-55</v>
      </c>
      <c r="AJ27" s="45"/>
      <c r="AQ27" s="49"/>
    </row>
    <row r="28" spans="1:43" ht="14.4" x14ac:dyDescent="0.55000000000000004">
      <c r="A28" s="13" t="s">
        <v>118</v>
      </c>
      <c r="B28" s="67"/>
      <c r="C28" s="69"/>
      <c r="D28" s="67"/>
      <c r="E28" s="69"/>
      <c r="F28" s="67"/>
      <c r="G28" s="69"/>
      <c r="H28" s="67"/>
      <c r="I28" s="69"/>
      <c r="J28" s="67"/>
      <c r="K28" s="68"/>
      <c r="L28" s="67"/>
      <c r="M28" s="69"/>
      <c r="N28" s="67"/>
      <c r="O28" s="69"/>
      <c r="P28" s="67"/>
      <c r="Q28" s="69"/>
      <c r="R28" s="67"/>
      <c r="S28" s="69"/>
      <c r="T28" s="67"/>
      <c r="U28" s="68"/>
      <c r="V28" s="67"/>
      <c r="W28" s="69"/>
      <c r="X28" s="67"/>
      <c r="Y28" s="69"/>
      <c r="Z28" s="68">
        <f t="shared" si="0"/>
        <v>0</v>
      </c>
      <c r="AA28" s="69">
        <f t="shared" ref="AA28:AA33" si="16">SUM(C28,E28,G28,I28,K28,M28,O28,Q28,S28,U28,W28,Y28)</f>
        <v>0</v>
      </c>
      <c r="AC28" s="69" cm="1">
        <f t="array" aca="1" ref="AC28" ca="1">_xlfn.LET(_xlpm.myRng, OFFSET($B28,0,0,1,2*myMonth-1),
      SUMPRODUCT((MOD(COLUMN(_xlpm.myRng)-COLUMN($B28),2)=0)*_xlpm.myRng)
    )</f>
        <v>0</v>
      </c>
      <c r="AD28" s="69">
        <f t="shared" si="2"/>
        <v>0</v>
      </c>
      <c r="AE28" s="93">
        <f t="shared" ca="1" si="3"/>
        <v>0</v>
      </c>
      <c r="AG28" s="69" cm="1">
        <f t="array" aca="1" ref="AG28" ca="1">_xlfn.LET(_xlpm.myRng, OFFSET($B28,0,2*(myMonth-1),1,1),
      SUMPRODUCT((MOD(COLUMN(_xlpm.myRng)-COLUMN($B28),2)=0)*_xlpm.myRng)
    )</f>
        <v>0</v>
      </c>
      <c r="AH28" s="71" cm="1">
        <f t="array" aca="1" ref="AH28" ca="1">_xlfn.LET(_xlpm.myRng, OFFSET($C28,0,2*(myMonth-1),1,1),
      SUMPRODUCT((MOD(COLUMN(_xlpm.myRng)-COLUMN($C28),2)=0)*_xlpm.myRng)
    )</f>
        <v>0</v>
      </c>
      <c r="AI28" s="93">
        <f t="shared" ca="1" si="4"/>
        <v>0</v>
      </c>
      <c r="AJ28" s="25"/>
      <c r="AQ28" s="49"/>
    </row>
    <row r="29" spans="1:43" ht="14.4" x14ac:dyDescent="0.55000000000000004">
      <c r="A29" s="13" t="s">
        <v>119</v>
      </c>
      <c r="B29" s="67"/>
      <c r="C29" s="69"/>
      <c r="D29" s="67"/>
      <c r="E29" s="69"/>
      <c r="F29" s="67"/>
      <c r="G29" s="69"/>
      <c r="H29" s="67"/>
      <c r="I29" s="69"/>
      <c r="J29" s="67"/>
      <c r="K29" s="68"/>
      <c r="L29" s="67"/>
      <c r="M29" s="69"/>
      <c r="N29" s="67"/>
      <c r="O29" s="69"/>
      <c r="P29" s="67"/>
      <c r="Q29" s="69"/>
      <c r="R29" s="67"/>
      <c r="S29" s="69"/>
      <c r="T29" s="67"/>
      <c r="U29" s="68"/>
      <c r="V29" s="67"/>
      <c r="W29" s="69"/>
      <c r="X29" s="67"/>
      <c r="Y29" s="69"/>
      <c r="Z29" s="68">
        <f t="shared" si="0"/>
        <v>0</v>
      </c>
      <c r="AA29" s="69">
        <f t="shared" si="16"/>
        <v>0</v>
      </c>
      <c r="AC29" s="69" cm="1">
        <f t="array" aca="1" ref="AC29" ca="1">_xlfn.LET(_xlpm.myRng, OFFSET($B29,0,0,1,2*myMonth-1),
      SUMPRODUCT((MOD(COLUMN(_xlpm.myRng)-COLUMN($B29),2)=0)*_xlpm.myRng)
    )</f>
        <v>0</v>
      </c>
      <c r="AD29" s="69">
        <f t="shared" si="2"/>
        <v>0</v>
      </c>
      <c r="AE29" s="93">
        <f t="shared" ca="1" si="3"/>
        <v>0</v>
      </c>
      <c r="AG29" s="69" cm="1">
        <f t="array" aca="1" ref="AG29" ca="1">_xlfn.LET(_xlpm.myRng, OFFSET($B29,0,2*(myMonth-1),1,1),
      SUMPRODUCT((MOD(COLUMN(_xlpm.myRng)-COLUMN($B29),2)=0)*_xlpm.myRng)
    )</f>
        <v>0</v>
      </c>
      <c r="AH29" s="71" cm="1">
        <f t="array" aca="1" ref="AH29" ca="1">_xlfn.LET(_xlpm.myRng, OFFSET($C29,0,2*(myMonth-1),1,1),
      SUMPRODUCT((MOD(COLUMN(_xlpm.myRng)-COLUMN($C29),2)=0)*_xlpm.myRng)
    )</f>
        <v>0</v>
      </c>
      <c r="AI29" s="93">
        <f t="shared" ca="1" si="4"/>
        <v>0</v>
      </c>
      <c r="AQ29" s="49"/>
    </row>
    <row r="30" spans="1:43" ht="14.4" x14ac:dyDescent="0.55000000000000004">
      <c r="A30" s="13" t="s">
        <v>120</v>
      </c>
      <c r="B30" s="67">
        <v>15.2</v>
      </c>
      <c r="C30" s="69">
        <v>15.2</v>
      </c>
      <c r="D30" s="67">
        <v>14.29</v>
      </c>
      <c r="E30" s="69">
        <v>12.99</v>
      </c>
      <c r="F30" s="67">
        <v>16.149999999999999</v>
      </c>
      <c r="G30" s="69">
        <v>14.3</v>
      </c>
      <c r="H30" s="67">
        <v>17.100000000000001</v>
      </c>
      <c r="I30" s="69">
        <v>13.85</v>
      </c>
      <c r="J30" s="67">
        <v>17.11</v>
      </c>
      <c r="K30" s="68">
        <v>14.32</v>
      </c>
      <c r="L30" s="67">
        <v>17.13</v>
      </c>
      <c r="M30" s="69"/>
      <c r="N30" s="67">
        <v>18.07</v>
      </c>
      <c r="O30" s="69"/>
      <c r="P30" s="67">
        <v>18.09</v>
      </c>
      <c r="Q30" s="69"/>
      <c r="R30" s="67">
        <v>18.100000000000001</v>
      </c>
      <c r="S30" s="69"/>
      <c r="T30" s="67">
        <v>18.12</v>
      </c>
      <c r="U30" s="68"/>
      <c r="V30" s="67">
        <v>18.14</v>
      </c>
      <c r="W30" s="69"/>
      <c r="X30" s="67">
        <v>18.149999999999999</v>
      </c>
      <c r="Y30" s="69"/>
      <c r="Z30" s="68">
        <f>SUM($B30,$D30,$F30,$H30,$J30,$L30,$N30,$P30,$R30,$T30,$V30,$X30)</f>
        <v>205.65</v>
      </c>
      <c r="AA30" s="69">
        <f t="shared" si="16"/>
        <v>70.66</v>
      </c>
      <c r="AC30" s="69" cm="1">
        <f t="array" aca="1" ref="AC30" ca="1">_xlfn.LET(_xlpm.myRng, OFFSET($B30,0,0,1,2*myMonth-1),
      SUMPRODUCT((MOD(COLUMN(_xlpm.myRng)-COLUMN($B30),2)=0)*_xlpm.myRng)
    )</f>
        <v>79.849999999999994</v>
      </c>
      <c r="AD30" s="69">
        <f t="shared" si="2"/>
        <v>70.66</v>
      </c>
      <c r="AE30" s="93">
        <f t="shared" ca="1" si="3"/>
        <v>-9.1899999999999977</v>
      </c>
      <c r="AG30" s="69" cm="1">
        <f t="array" aca="1" ref="AG30" ca="1">_xlfn.LET(_xlpm.myRng, OFFSET($B30,0,2*(myMonth-1),1,1),
      SUMPRODUCT((MOD(COLUMN(_xlpm.myRng)-COLUMN($B30),2)=0)*_xlpm.myRng)
    )</f>
        <v>17.11</v>
      </c>
      <c r="AH30" s="71" cm="1">
        <f t="array" aca="1" ref="AH30" ca="1">_xlfn.LET(_xlpm.myRng, OFFSET($C30,0,2*(myMonth-1),1,1),
      SUMPRODUCT((MOD(COLUMN(_xlpm.myRng)-COLUMN($C30),2)=0)*_xlpm.myRng)
    )</f>
        <v>14.32</v>
      </c>
      <c r="AI30" s="93">
        <f t="shared" ca="1" si="4"/>
        <v>-2.7899999999999991</v>
      </c>
      <c r="AQ30" s="49" t="s">
        <v>121</v>
      </c>
    </row>
    <row r="31" spans="1:43" ht="14.4" x14ac:dyDescent="0.55000000000000004">
      <c r="A31" s="13" t="s">
        <v>122</v>
      </c>
      <c r="B31" s="67">
        <v>100</v>
      </c>
      <c r="C31" s="76">
        <v>100</v>
      </c>
      <c r="D31" s="67"/>
      <c r="E31" s="76"/>
      <c r="F31" s="67"/>
      <c r="G31" s="76"/>
      <c r="H31" s="67">
        <v>390</v>
      </c>
      <c r="I31" s="76">
        <v>293.83</v>
      </c>
      <c r="J31" s="67"/>
      <c r="K31" s="75"/>
      <c r="L31" s="67"/>
      <c r="M31" s="76"/>
      <c r="N31" s="67">
        <v>450</v>
      </c>
      <c r="O31" s="76"/>
      <c r="P31" s="67"/>
      <c r="Q31" s="76"/>
      <c r="R31" s="67"/>
      <c r="S31" s="76"/>
      <c r="T31" s="67">
        <v>190</v>
      </c>
      <c r="U31" s="75"/>
      <c r="V31" s="67"/>
      <c r="W31" s="76"/>
      <c r="X31" s="67"/>
      <c r="Y31" s="76"/>
      <c r="Z31" s="68">
        <f t="shared" si="0"/>
        <v>1130</v>
      </c>
      <c r="AA31" s="76">
        <f t="shared" si="16"/>
        <v>393.83</v>
      </c>
      <c r="AC31" s="69" cm="1">
        <f t="array" aca="1" ref="AC31" ca="1">_xlfn.LET(_xlpm.myRng, OFFSET($B31,0,0,1,2*myMonth-1),
      SUMPRODUCT((MOD(COLUMN(_xlpm.myRng)-COLUMN($B31),2)=0)*_xlpm.myRng)
    )</f>
        <v>490</v>
      </c>
      <c r="AD31" s="69">
        <f t="shared" si="2"/>
        <v>393.83</v>
      </c>
      <c r="AE31" s="93">
        <f t="shared" ca="1" si="3"/>
        <v>-96.170000000000016</v>
      </c>
      <c r="AG31" s="69" cm="1">
        <f t="array" aca="1" ref="AG31" ca="1">_xlfn.LET(_xlpm.myRng, OFFSET($B31,0,2*(myMonth-1),1,1),
      SUMPRODUCT((MOD(COLUMN(_xlpm.myRng)-COLUMN($B31),2)=0)*_xlpm.myRng)
    )</f>
        <v>0</v>
      </c>
      <c r="AH31" s="71" cm="1">
        <f t="array" aca="1" ref="AH31" ca="1">_xlfn.LET(_xlpm.myRng, OFFSET($C31,0,2*(myMonth-1),1,1),
      SUMPRODUCT((MOD(COLUMN(_xlpm.myRng)-COLUMN($C31),2)=0)*_xlpm.myRng)
    )</f>
        <v>0</v>
      </c>
      <c r="AI31" s="93">
        <f t="shared" ca="1" si="4"/>
        <v>0</v>
      </c>
      <c r="AJ31" s="36" t="s">
        <v>123</v>
      </c>
      <c r="AQ31" s="49"/>
    </row>
    <row r="32" spans="1:43" ht="14.4" x14ac:dyDescent="0.55000000000000004">
      <c r="A32" s="13" t="s">
        <v>124</v>
      </c>
      <c r="B32" s="67">
        <v>20.34</v>
      </c>
      <c r="C32" s="69">
        <v>20.34</v>
      </c>
      <c r="D32" s="67"/>
      <c r="E32" s="69"/>
      <c r="F32" s="67"/>
      <c r="G32" s="69"/>
      <c r="H32" s="67"/>
      <c r="I32" s="69"/>
      <c r="J32" s="67"/>
      <c r="K32" s="68"/>
      <c r="L32" s="67"/>
      <c r="M32" s="69"/>
      <c r="N32" s="67"/>
      <c r="O32" s="69"/>
      <c r="P32" s="67"/>
      <c r="Q32" s="69"/>
      <c r="R32" s="67"/>
      <c r="S32" s="69"/>
      <c r="T32" s="67"/>
      <c r="U32" s="68"/>
      <c r="V32" s="67"/>
      <c r="W32" s="69"/>
      <c r="X32" s="67"/>
      <c r="Y32" s="69"/>
      <c r="Z32" s="68">
        <f t="shared" si="0"/>
        <v>20.34</v>
      </c>
      <c r="AA32" s="69">
        <f t="shared" si="16"/>
        <v>20.34</v>
      </c>
      <c r="AC32" s="69" cm="1">
        <f t="array" aca="1" ref="AC32" ca="1">_xlfn.LET(_xlpm.myRng, OFFSET($B32,0,0,1,2*myMonth-1),
      SUMPRODUCT((MOD(COLUMN(_xlpm.myRng)-COLUMN($B32),2)=0)*_xlpm.myRng)
    )</f>
        <v>20.34</v>
      </c>
      <c r="AD32" s="69">
        <f t="shared" si="2"/>
        <v>20.34</v>
      </c>
      <c r="AE32" s="93">
        <f t="shared" ca="1" si="3"/>
        <v>0</v>
      </c>
      <c r="AG32" s="69" cm="1">
        <f t="array" aca="1" ref="AG32" ca="1">_xlfn.LET(_xlpm.myRng, OFFSET($B32,0,2*(myMonth-1),1,1),
      SUMPRODUCT((MOD(COLUMN(_xlpm.myRng)-COLUMN($B32),2)=0)*_xlpm.myRng)
    )</f>
        <v>0</v>
      </c>
      <c r="AH32" s="71" cm="1">
        <f t="array" aca="1" ref="AH32" ca="1">_xlfn.LET(_xlpm.myRng, OFFSET($C32,0,2*(myMonth-1),1,1),
      SUMPRODUCT((MOD(COLUMN(_xlpm.myRng)-COLUMN($C32),2)=0)*_xlpm.myRng)
    )</f>
        <v>0</v>
      </c>
      <c r="AI32" s="93">
        <f t="shared" ca="1" si="4"/>
        <v>0</v>
      </c>
      <c r="AJ32" s="36"/>
      <c r="AQ32" s="49"/>
    </row>
    <row r="33" spans="1:43" ht="14.4" x14ac:dyDescent="0.55000000000000004">
      <c r="A33" s="13" t="s">
        <v>125</v>
      </c>
      <c r="B33" s="67"/>
      <c r="C33" s="69"/>
      <c r="D33" s="67"/>
      <c r="E33" s="69"/>
      <c r="F33" s="67"/>
      <c r="G33" s="69"/>
      <c r="H33" s="67"/>
      <c r="I33" s="69"/>
      <c r="J33" s="67"/>
      <c r="K33" s="68"/>
      <c r="L33" s="67"/>
      <c r="M33" s="69"/>
      <c r="N33" s="67"/>
      <c r="O33" s="69"/>
      <c r="P33" s="67"/>
      <c r="Q33" s="69"/>
      <c r="R33" s="67"/>
      <c r="S33" s="69"/>
      <c r="T33" s="67"/>
      <c r="U33" s="68"/>
      <c r="V33" s="67"/>
      <c r="W33" s="69"/>
      <c r="X33" s="67"/>
      <c r="Y33" s="69"/>
      <c r="Z33" s="68">
        <f t="shared" si="0"/>
        <v>0</v>
      </c>
      <c r="AA33" s="69">
        <f t="shared" si="16"/>
        <v>0</v>
      </c>
      <c r="AC33" s="69" cm="1">
        <f t="array" aca="1" ref="AC33" ca="1">_xlfn.LET(_xlpm.myRng, OFFSET($B33,0,0,1,2*myMonth-1),
      SUMPRODUCT((MOD(COLUMN(_xlpm.myRng)-COLUMN($B33),2)=0)*_xlpm.myRng)
    )</f>
        <v>0</v>
      </c>
      <c r="AD33" s="69">
        <f t="shared" si="2"/>
        <v>0</v>
      </c>
      <c r="AE33" s="93">
        <f t="shared" ca="1" si="3"/>
        <v>0</v>
      </c>
      <c r="AG33" s="69" cm="1">
        <f t="array" aca="1" ref="AG33" ca="1">_xlfn.LET(_xlpm.myRng, OFFSET($B33,0,2*(myMonth-1),1,1),
      SUMPRODUCT((MOD(COLUMN(_xlpm.myRng)-COLUMN($B33),2)=0)*_xlpm.myRng)
    )</f>
        <v>0</v>
      </c>
      <c r="AH33" s="71" cm="1">
        <f t="array" aca="1" ref="AH33" ca="1">_xlfn.LET(_xlpm.myRng, OFFSET($C33,0,2*(myMonth-1),1,1),
      SUMPRODUCT((MOD(COLUMN(_xlpm.myRng)-COLUMN($C33),2)=0)*_xlpm.myRng)
    )</f>
        <v>0</v>
      </c>
      <c r="AI33" s="93">
        <f t="shared" ca="1" si="4"/>
        <v>0</v>
      </c>
      <c r="AQ33" s="49"/>
    </row>
    <row r="34" spans="1:43" ht="14.4" x14ac:dyDescent="0.55000000000000004">
      <c r="A34" s="12" t="s">
        <v>126</v>
      </c>
      <c r="B34" s="72">
        <f>SUM(B28:B33)</f>
        <v>135.54</v>
      </c>
      <c r="C34" s="74">
        <f t="shared" ref="C34:AA34" si="17">SUM(C28:C33)</f>
        <v>135.54</v>
      </c>
      <c r="D34" s="72">
        <f t="shared" si="17"/>
        <v>14.29</v>
      </c>
      <c r="E34" s="74">
        <f t="shared" si="17"/>
        <v>12.99</v>
      </c>
      <c r="F34" s="72">
        <f t="shared" si="17"/>
        <v>16.149999999999999</v>
      </c>
      <c r="G34" s="74">
        <f t="shared" si="17"/>
        <v>14.3</v>
      </c>
      <c r="H34" s="72">
        <f t="shared" si="17"/>
        <v>407.1</v>
      </c>
      <c r="I34" s="74">
        <f t="shared" si="17"/>
        <v>307.68</v>
      </c>
      <c r="J34" s="72">
        <f t="shared" si="17"/>
        <v>17.11</v>
      </c>
      <c r="K34" s="73">
        <f t="shared" si="17"/>
        <v>14.32</v>
      </c>
      <c r="L34" s="72">
        <f t="shared" si="17"/>
        <v>17.13</v>
      </c>
      <c r="M34" s="74">
        <f t="shared" si="17"/>
        <v>0</v>
      </c>
      <c r="N34" s="72">
        <f t="shared" si="17"/>
        <v>468.07</v>
      </c>
      <c r="O34" s="74">
        <f t="shared" si="17"/>
        <v>0</v>
      </c>
      <c r="P34" s="72">
        <f t="shared" si="17"/>
        <v>18.09</v>
      </c>
      <c r="Q34" s="74">
        <f t="shared" si="17"/>
        <v>0</v>
      </c>
      <c r="R34" s="72">
        <f t="shared" si="17"/>
        <v>18.100000000000001</v>
      </c>
      <c r="S34" s="74">
        <f t="shared" si="17"/>
        <v>0</v>
      </c>
      <c r="T34" s="72">
        <f t="shared" si="17"/>
        <v>208.12</v>
      </c>
      <c r="U34" s="73">
        <f t="shared" si="17"/>
        <v>0</v>
      </c>
      <c r="V34" s="72">
        <f t="shared" si="17"/>
        <v>18.14</v>
      </c>
      <c r="W34" s="74">
        <f t="shared" si="17"/>
        <v>0</v>
      </c>
      <c r="X34" s="72">
        <f t="shared" si="17"/>
        <v>18.149999999999999</v>
      </c>
      <c r="Y34" s="74">
        <f t="shared" si="17"/>
        <v>0</v>
      </c>
      <c r="Z34" s="73">
        <f t="shared" si="0"/>
        <v>1355.99</v>
      </c>
      <c r="AA34" s="74">
        <f t="shared" si="17"/>
        <v>484.83</v>
      </c>
      <c r="AC34" s="74">
        <f t="shared" ref="AC34" ca="1" si="18">SUM(AC28:AC33)</f>
        <v>590.19000000000005</v>
      </c>
      <c r="AD34" s="74">
        <f t="shared" si="2"/>
        <v>484.83</v>
      </c>
      <c r="AE34" s="72">
        <f t="shared" ca="1" si="3"/>
        <v>-105.36000000000007</v>
      </c>
      <c r="AG34" s="74">
        <f t="shared" ref="AG34:AH34" ca="1" si="19">SUM(AG28:AG33)</f>
        <v>17.11</v>
      </c>
      <c r="AH34" s="74">
        <f t="shared" ca="1" si="19"/>
        <v>14.32</v>
      </c>
      <c r="AI34" s="72">
        <f t="shared" ca="1" si="4"/>
        <v>-2.7899999999999991</v>
      </c>
      <c r="AQ34" s="49"/>
    </row>
    <row r="35" spans="1:43" ht="14.4" x14ac:dyDescent="0.55000000000000004">
      <c r="A35" s="13" t="s">
        <v>127</v>
      </c>
      <c r="B35" s="67">
        <v>0.01</v>
      </c>
      <c r="C35" s="69">
        <v>0.01</v>
      </c>
      <c r="D35" s="67"/>
      <c r="E35" s="69">
        <v>0.19</v>
      </c>
      <c r="F35" s="67"/>
      <c r="G35" s="69">
        <v>0.22</v>
      </c>
      <c r="H35" s="67"/>
      <c r="I35" s="69">
        <v>0.22</v>
      </c>
      <c r="J35" s="67"/>
      <c r="K35" s="68">
        <v>0.22</v>
      </c>
      <c r="L35" s="67"/>
      <c r="M35" s="69"/>
      <c r="N35" s="67"/>
      <c r="O35" s="69"/>
      <c r="P35" s="67"/>
      <c r="Q35" s="69"/>
      <c r="R35" s="67"/>
      <c r="S35" s="69"/>
      <c r="T35" s="67"/>
      <c r="U35" s="68"/>
      <c r="V35" s="67"/>
      <c r="W35" s="69"/>
      <c r="X35" s="67"/>
      <c r="Y35" s="69"/>
      <c r="Z35" s="68">
        <f t="shared" si="0"/>
        <v>0.01</v>
      </c>
      <c r="AA35" s="69">
        <f>SUM(C35,E35,G35,I35,K35,M35,O35,Q35,S35,U35,W35,Y35)</f>
        <v>0.86</v>
      </c>
      <c r="AB35" s="25"/>
      <c r="AC35" s="69" cm="1">
        <f t="array" aca="1" ref="AC35" ca="1">_xlfn.LET(_xlpm.myRng, OFFSET($B35,0,0,1,2*myMonth-1),
      SUMPRODUCT((MOD(COLUMN(_xlpm.myRng)-COLUMN($B35),2)=0)*_xlpm.myRng)
    )</f>
        <v>0.01</v>
      </c>
      <c r="AD35" s="69">
        <f t="shared" si="2"/>
        <v>0.86</v>
      </c>
      <c r="AE35" s="93">
        <f t="shared" ca="1" si="3"/>
        <v>0.85</v>
      </c>
      <c r="AF35" s="25"/>
      <c r="AG35" s="177" cm="1">
        <f t="array" aca="1" ref="AG35" ca="1">_xlfn.LET(_xlpm.myRng, OFFSET($B35,0,2*(myMonth-1),1,1),
      SUMPRODUCT((MOD(COLUMN(_xlpm.myRng)-COLUMN($B35),2)=0)*_xlpm.myRng)
    )</f>
        <v>0</v>
      </c>
      <c r="AH35" s="71" cm="1">
        <f t="array" aca="1" ref="AH35" ca="1">_xlfn.LET(_xlpm.myRng, OFFSET($C35,0,2*(myMonth-1),1,1),
      SUMPRODUCT((MOD(COLUMN(_xlpm.myRng)-COLUMN($C35),2)=0)*_xlpm.myRng)
    )</f>
        <v>0.22</v>
      </c>
      <c r="AI35" s="93">
        <f t="shared" ca="1" si="4"/>
        <v>0.22</v>
      </c>
      <c r="AQ35" s="49"/>
    </row>
    <row r="36" spans="1:43" ht="14.4" x14ac:dyDescent="0.55000000000000004">
      <c r="A36" s="63" t="s">
        <v>128</v>
      </c>
      <c r="B36" s="77">
        <f>B8+B13+B20+B27+B34+B35</f>
        <v>4704.9000000000005</v>
      </c>
      <c r="C36" s="79">
        <f t="shared" ref="C36:AA36" si="20">C8+C13+C20+C27+C34+C35</f>
        <v>4704.9000000000005</v>
      </c>
      <c r="D36" s="77">
        <f t="shared" si="20"/>
        <v>8658.2900000000009</v>
      </c>
      <c r="E36" s="79">
        <f t="shared" si="20"/>
        <v>6528.1799999999994</v>
      </c>
      <c r="F36" s="77">
        <f t="shared" si="20"/>
        <v>1130.1500000000001</v>
      </c>
      <c r="G36" s="79">
        <f t="shared" si="20"/>
        <v>614.52</v>
      </c>
      <c r="H36" s="77">
        <f t="shared" si="20"/>
        <v>1613.6</v>
      </c>
      <c r="I36" s="79">
        <f t="shared" si="20"/>
        <v>1185.4000000000001</v>
      </c>
      <c r="J36" s="77">
        <f t="shared" si="20"/>
        <v>1148.6099999999999</v>
      </c>
      <c r="K36" s="78">
        <f t="shared" si="20"/>
        <v>824.54000000000008</v>
      </c>
      <c r="L36" s="77">
        <f t="shared" si="20"/>
        <v>1296.1300000000001</v>
      </c>
      <c r="M36" s="79">
        <f t="shared" si="20"/>
        <v>0</v>
      </c>
      <c r="N36" s="77">
        <f t="shared" si="20"/>
        <v>1582.07</v>
      </c>
      <c r="O36" s="79">
        <f t="shared" si="20"/>
        <v>0</v>
      </c>
      <c r="P36" s="77">
        <f t="shared" si="20"/>
        <v>1149.5899999999999</v>
      </c>
      <c r="Q36" s="79">
        <f t="shared" si="20"/>
        <v>0</v>
      </c>
      <c r="R36" s="77">
        <f t="shared" si="20"/>
        <v>1939.6</v>
      </c>
      <c r="S36" s="79">
        <f t="shared" si="20"/>
        <v>0</v>
      </c>
      <c r="T36" s="77">
        <f t="shared" si="20"/>
        <v>1779.62</v>
      </c>
      <c r="U36" s="78">
        <f t="shared" si="20"/>
        <v>0</v>
      </c>
      <c r="V36" s="77">
        <f t="shared" si="20"/>
        <v>1132.1400000000001</v>
      </c>
      <c r="W36" s="79">
        <f t="shared" si="20"/>
        <v>0</v>
      </c>
      <c r="X36" s="77">
        <f t="shared" si="20"/>
        <v>772.15</v>
      </c>
      <c r="Y36" s="79">
        <f t="shared" si="20"/>
        <v>0</v>
      </c>
      <c r="Z36" s="78">
        <f t="shared" si="0"/>
        <v>26906.850000000002</v>
      </c>
      <c r="AA36" s="79">
        <f t="shared" si="20"/>
        <v>13857.54</v>
      </c>
      <c r="AC36" s="94">
        <f ca="1">AC8+AC13+AC20+AC27+AC34+AC35</f>
        <v>17255.549999999996</v>
      </c>
      <c r="AD36" s="94">
        <f t="shared" ref="AD36" si="21">AD8+AD13+AD20+AD27+AD34+AD35</f>
        <v>13857.54</v>
      </c>
      <c r="AE36" s="77">
        <f t="shared" ca="1" si="3"/>
        <v>-3398.0099999999948</v>
      </c>
      <c r="AG36" s="94">
        <f ca="1">AG8+AG13+AG20+AG27+AG34+AG35</f>
        <v>1148.6099999999999</v>
      </c>
      <c r="AH36" s="94">
        <f t="shared" ref="AH36" ca="1" si="22">AH8+AH13+AH20+AH27+AH34+AH35</f>
        <v>824.54000000000008</v>
      </c>
      <c r="AI36" s="77">
        <f t="shared" ca="1" si="4"/>
        <v>-324.06999999999982</v>
      </c>
      <c r="AJ36" s="25"/>
      <c r="AQ36" s="53"/>
    </row>
    <row r="37" spans="1:43" ht="14.4" x14ac:dyDescent="0.55000000000000004">
      <c r="A37" s="1" t="s">
        <v>129</v>
      </c>
      <c r="B37" s="80"/>
      <c r="C37" s="82"/>
      <c r="D37" s="80"/>
      <c r="E37" s="82"/>
      <c r="F37" s="80"/>
      <c r="G37" s="82"/>
      <c r="H37" s="80"/>
      <c r="I37" s="82"/>
      <c r="J37" s="80"/>
      <c r="K37" s="81"/>
      <c r="L37" s="80"/>
      <c r="M37" s="82"/>
      <c r="N37" s="80"/>
      <c r="O37" s="82"/>
      <c r="P37" s="80"/>
      <c r="Q37" s="82"/>
      <c r="R37" s="80"/>
      <c r="S37" s="82"/>
      <c r="T37" s="80"/>
      <c r="U37" s="81"/>
      <c r="V37" s="80"/>
      <c r="W37" s="82"/>
      <c r="X37" s="80"/>
      <c r="Y37" s="82"/>
      <c r="Z37" s="81">
        <f t="shared" si="0"/>
        <v>0</v>
      </c>
      <c r="AA37" s="82"/>
      <c r="AC37" s="82">
        <f t="shared" ref="AC37:AC38" si="23">SUM($B37,$D37,$F37,$H37,$J37,$L37,$N37,$P37,$R37,$T37,$V37,$X37)</f>
        <v>0</v>
      </c>
      <c r="AD37" s="82"/>
      <c r="AE37" s="80"/>
      <c r="AG37" s="82">
        <f t="shared" ref="AG37:AG38" si="24">SUM($B37,$D37,$F37,$H37,$J37,$L37,$N37,$P37,$R37,$T37,$V37,$X37)</f>
        <v>0</v>
      </c>
      <c r="AH37" s="82"/>
      <c r="AI37" s="80"/>
      <c r="AQ37" s="53"/>
    </row>
    <row r="38" spans="1:43" ht="14.4" x14ac:dyDescent="0.55000000000000004">
      <c r="A38" s="12" t="s">
        <v>130</v>
      </c>
      <c r="B38" s="72"/>
      <c r="C38" s="74"/>
      <c r="D38" s="72"/>
      <c r="E38" s="74"/>
      <c r="F38" s="72"/>
      <c r="G38" s="74"/>
      <c r="H38" s="72"/>
      <c r="I38" s="74"/>
      <c r="J38" s="72"/>
      <c r="K38" s="73"/>
      <c r="L38" s="72"/>
      <c r="M38" s="74"/>
      <c r="N38" s="72"/>
      <c r="O38" s="74"/>
      <c r="P38" s="72"/>
      <c r="Q38" s="74"/>
      <c r="R38" s="72"/>
      <c r="S38" s="74"/>
      <c r="T38" s="72"/>
      <c r="U38" s="73"/>
      <c r="V38" s="72"/>
      <c r="W38" s="74"/>
      <c r="X38" s="72"/>
      <c r="Y38" s="74"/>
      <c r="Z38" s="73">
        <f t="shared" si="0"/>
        <v>0</v>
      </c>
      <c r="AA38" s="74">
        <f t="shared" ref="AA38:AA41" si="25">SUM(C38,E38,G38,I38,K38,M38,O38,Q38,S38,U38,W38,Y38)</f>
        <v>0</v>
      </c>
      <c r="AC38" s="74">
        <f t="shared" si="23"/>
        <v>0</v>
      </c>
      <c r="AD38" s="74">
        <f t="shared" ref="AD38:AD102" si="26">SUM(C38,E38,G38,I38,K38,M38,O38,Q38,S38,U38,W38)</f>
        <v>0</v>
      </c>
      <c r="AE38" s="72">
        <f>AC38-AD38</f>
        <v>0</v>
      </c>
      <c r="AG38" s="74">
        <f t="shared" si="24"/>
        <v>0</v>
      </c>
      <c r="AH38" s="74">
        <f t="shared" ref="AH38" si="27">SUM(F38,H38,J38,L38,N38,P38,R38,T38,V38,X38,Z38)</f>
        <v>0</v>
      </c>
      <c r="AI38" s="72">
        <f>AG38-AH38</f>
        <v>0</v>
      </c>
      <c r="AQ38" s="49"/>
    </row>
    <row r="39" spans="1:43" ht="14.4" x14ac:dyDescent="0.55000000000000004">
      <c r="A39" s="13" t="s">
        <v>131</v>
      </c>
      <c r="B39" s="67"/>
      <c r="C39" s="69"/>
      <c r="D39" s="67"/>
      <c r="E39" s="69"/>
      <c r="F39" s="67"/>
      <c r="G39" s="69"/>
      <c r="H39" s="67"/>
      <c r="I39" s="69"/>
      <c r="J39" s="67"/>
      <c r="K39" s="68"/>
      <c r="L39" s="67"/>
      <c r="M39" s="69"/>
      <c r="N39" s="67"/>
      <c r="O39" s="69"/>
      <c r="P39" s="67"/>
      <c r="Q39" s="69"/>
      <c r="R39" s="67"/>
      <c r="S39" s="69"/>
      <c r="T39" s="67"/>
      <c r="U39" s="68"/>
      <c r="V39" s="67"/>
      <c r="W39" s="69"/>
      <c r="X39" s="67"/>
      <c r="Y39" s="69"/>
      <c r="Z39" s="68">
        <f t="shared" si="0"/>
        <v>0</v>
      </c>
      <c r="AA39" s="69">
        <f t="shared" si="25"/>
        <v>0</v>
      </c>
      <c r="AC39" s="69" cm="1">
        <f t="array" aca="1" ref="AC39" ca="1">_xlfn.LET(_xlpm.myRng, OFFSET($B39,0,0,1,2*myMonth-1),
      SUMPRODUCT((MOD(COLUMN(_xlpm.myRng)-COLUMN($B39),2)=0)*_xlpm.myRng)
    )</f>
        <v>0</v>
      </c>
      <c r="AD39" s="69">
        <f t="shared" si="26"/>
        <v>0</v>
      </c>
      <c r="AE39" s="93">
        <f t="shared" ref="AE39:AE103" ca="1" si="28">AC39-AD39</f>
        <v>0</v>
      </c>
      <c r="AG39" s="69" cm="1">
        <f t="array" aca="1" ref="AG39" ca="1">_xlfn.LET(_xlpm.myRng, OFFSET($B39,0,2*(myMonth-1),1,1),
      SUMPRODUCT((MOD(COLUMN(_xlpm.myRng)-COLUMN($B39),2)=0)*_xlpm.myRng)
    )</f>
        <v>0</v>
      </c>
      <c r="AH39" s="71" cm="1">
        <f t="array" aca="1" ref="AH39" ca="1">_xlfn.LET(_xlpm.myRng, OFFSET($C39,0,2*(myMonth-1),1,1),
      SUMPRODUCT((MOD(COLUMN(_xlpm.myRng)-COLUMN($C39),2)=0)*_xlpm.myRng)
    )</f>
        <v>0</v>
      </c>
      <c r="AI39" s="93">
        <f t="shared" ref="AI39:AI100" ca="1" si="29">AG39-AH39</f>
        <v>0</v>
      </c>
      <c r="AQ39" s="49"/>
    </row>
    <row r="40" spans="1:43" ht="14.4" x14ac:dyDescent="0.55000000000000004">
      <c r="A40" s="13" t="s">
        <v>132</v>
      </c>
      <c r="B40" s="67"/>
      <c r="C40" s="69"/>
      <c r="D40" s="67"/>
      <c r="E40" s="69"/>
      <c r="F40" s="67"/>
      <c r="G40" s="69"/>
      <c r="H40" s="67"/>
      <c r="I40" s="69"/>
      <c r="J40" s="67"/>
      <c r="K40" s="68"/>
      <c r="L40" s="67"/>
      <c r="M40" s="69"/>
      <c r="N40" s="67"/>
      <c r="O40" s="69"/>
      <c r="P40" s="67"/>
      <c r="Q40" s="69"/>
      <c r="R40" s="67"/>
      <c r="S40" s="69"/>
      <c r="T40" s="67"/>
      <c r="U40" s="68"/>
      <c r="V40" s="67"/>
      <c r="W40" s="69"/>
      <c r="X40" s="67"/>
      <c r="Y40" s="69"/>
      <c r="Z40" s="68">
        <f t="shared" si="0"/>
        <v>0</v>
      </c>
      <c r="AA40" s="69">
        <f t="shared" si="25"/>
        <v>0</v>
      </c>
      <c r="AC40" s="69" cm="1">
        <f t="array" aca="1" ref="AC40" ca="1">_xlfn.LET(_xlpm.myRng, OFFSET($B40,0,0,1,2*myMonth-1),
      SUMPRODUCT((MOD(COLUMN(_xlpm.myRng)-COLUMN($B40),2)=0)*_xlpm.myRng)
    )</f>
        <v>0</v>
      </c>
      <c r="AD40" s="69">
        <f t="shared" si="26"/>
        <v>0</v>
      </c>
      <c r="AE40" s="93">
        <f t="shared" ca="1" si="28"/>
        <v>0</v>
      </c>
      <c r="AG40" s="69" cm="1">
        <f t="array" aca="1" ref="AG40" ca="1">_xlfn.LET(_xlpm.myRng, OFFSET($B40,0,2*(myMonth-1),1,1),
      SUMPRODUCT((MOD(COLUMN(_xlpm.myRng)-COLUMN($B40),2)=0)*_xlpm.myRng)
    )</f>
        <v>0</v>
      </c>
      <c r="AH40" s="71" cm="1">
        <f t="array" aca="1" ref="AH40" ca="1">_xlfn.LET(_xlpm.myRng, OFFSET($C40,0,2*(myMonth-1),1,1),
      SUMPRODUCT((MOD(COLUMN(_xlpm.myRng)-COLUMN($C40),2)=0)*_xlpm.myRng)
    )</f>
        <v>0</v>
      </c>
      <c r="AI40" s="93">
        <f t="shared" ca="1" si="29"/>
        <v>0</v>
      </c>
      <c r="AQ40" s="49"/>
    </row>
    <row r="41" spans="1:43" ht="14.4" x14ac:dyDescent="0.55000000000000004">
      <c r="A41" s="13" t="s">
        <v>133</v>
      </c>
      <c r="B41" s="67"/>
      <c r="C41" s="69"/>
      <c r="D41" s="67"/>
      <c r="E41" s="69"/>
      <c r="F41" s="67"/>
      <c r="G41" s="69"/>
      <c r="H41" s="67"/>
      <c r="I41" s="69"/>
      <c r="J41" s="67"/>
      <c r="K41" s="68"/>
      <c r="L41" s="67"/>
      <c r="M41" s="69"/>
      <c r="N41" s="67"/>
      <c r="O41" s="69"/>
      <c r="P41" s="67"/>
      <c r="Q41" s="69"/>
      <c r="R41" s="67"/>
      <c r="S41" s="69"/>
      <c r="T41" s="67"/>
      <c r="U41" s="68"/>
      <c r="V41" s="67"/>
      <c r="W41" s="69"/>
      <c r="X41" s="67"/>
      <c r="Y41" s="69"/>
      <c r="Z41" s="68">
        <f t="shared" si="0"/>
        <v>0</v>
      </c>
      <c r="AA41" s="69">
        <f t="shared" si="25"/>
        <v>0</v>
      </c>
      <c r="AC41" s="69" cm="1">
        <f t="array" aca="1" ref="AC41" ca="1">_xlfn.LET(_xlpm.myRng, OFFSET($B41,0,0,1,2*myMonth-1),
      SUMPRODUCT((MOD(COLUMN(_xlpm.myRng)-COLUMN($B41),2)=0)*_xlpm.myRng)
    )</f>
        <v>0</v>
      </c>
      <c r="AD41" s="69">
        <f t="shared" si="26"/>
        <v>0</v>
      </c>
      <c r="AE41" s="93">
        <f t="shared" ca="1" si="28"/>
        <v>0</v>
      </c>
      <c r="AG41" s="69" cm="1">
        <f t="array" aca="1" ref="AG41" ca="1">_xlfn.LET(_xlpm.myRng, OFFSET($B41,0,2*(myMonth-1),1,1),
      SUMPRODUCT((MOD(COLUMN(_xlpm.myRng)-COLUMN($B41),2)=0)*_xlpm.myRng)
    )</f>
        <v>0</v>
      </c>
      <c r="AH41" s="71" cm="1">
        <f t="array" aca="1" ref="AH41" ca="1">_xlfn.LET(_xlpm.myRng, OFFSET($C41,0,2*(myMonth-1),1,1),
      SUMPRODUCT((MOD(COLUMN(_xlpm.myRng)-COLUMN($C41),2)=0)*_xlpm.myRng)
    )</f>
        <v>0</v>
      </c>
      <c r="AI41" s="93">
        <f t="shared" ca="1" si="29"/>
        <v>0</v>
      </c>
      <c r="AQ41" s="49"/>
    </row>
    <row r="42" spans="1:43" ht="14.4" x14ac:dyDescent="0.55000000000000004">
      <c r="A42" s="12" t="s">
        <v>134</v>
      </c>
      <c r="B42" s="72">
        <f t="shared" ref="B42:AA42" si="30">SUM(B39:B41)</f>
        <v>0</v>
      </c>
      <c r="C42" s="74">
        <f t="shared" si="30"/>
        <v>0</v>
      </c>
      <c r="D42" s="72">
        <f t="shared" si="30"/>
        <v>0</v>
      </c>
      <c r="E42" s="74">
        <f t="shared" si="30"/>
        <v>0</v>
      </c>
      <c r="F42" s="72">
        <f t="shared" si="30"/>
        <v>0</v>
      </c>
      <c r="G42" s="74">
        <f t="shared" si="30"/>
        <v>0</v>
      </c>
      <c r="H42" s="72">
        <f t="shared" si="30"/>
        <v>0</v>
      </c>
      <c r="I42" s="74">
        <f t="shared" si="30"/>
        <v>0</v>
      </c>
      <c r="J42" s="72">
        <f t="shared" si="30"/>
        <v>0</v>
      </c>
      <c r="K42" s="73">
        <f t="shared" si="30"/>
        <v>0</v>
      </c>
      <c r="L42" s="72">
        <f t="shared" si="30"/>
        <v>0</v>
      </c>
      <c r="M42" s="74">
        <f t="shared" si="30"/>
        <v>0</v>
      </c>
      <c r="N42" s="72">
        <f t="shared" si="30"/>
        <v>0</v>
      </c>
      <c r="O42" s="74">
        <f t="shared" si="30"/>
        <v>0</v>
      </c>
      <c r="P42" s="72">
        <f t="shared" si="30"/>
        <v>0</v>
      </c>
      <c r="Q42" s="74">
        <f t="shared" si="30"/>
        <v>0</v>
      </c>
      <c r="R42" s="72">
        <f t="shared" si="30"/>
        <v>0</v>
      </c>
      <c r="S42" s="74">
        <f t="shared" si="30"/>
        <v>0</v>
      </c>
      <c r="T42" s="72">
        <f t="shared" si="30"/>
        <v>0</v>
      </c>
      <c r="U42" s="73">
        <f t="shared" si="30"/>
        <v>0</v>
      </c>
      <c r="V42" s="72">
        <f t="shared" si="30"/>
        <v>0</v>
      </c>
      <c r="W42" s="74">
        <f t="shared" si="30"/>
        <v>0</v>
      </c>
      <c r="X42" s="72">
        <f t="shared" si="30"/>
        <v>0</v>
      </c>
      <c r="Y42" s="74">
        <f t="shared" si="30"/>
        <v>0</v>
      </c>
      <c r="Z42" s="73">
        <f t="shared" si="0"/>
        <v>0</v>
      </c>
      <c r="AA42" s="74">
        <f t="shared" si="30"/>
        <v>0</v>
      </c>
      <c r="AC42" s="74">
        <f ca="1">SUM(AC39:AC41)</f>
        <v>0</v>
      </c>
      <c r="AD42" s="74">
        <f>SUM(AD39:AD41)</f>
        <v>0</v>
      </c>
      <c r="AE42" s="72">
        <f t="shared" ca="1" si="28"/>
        <v>0</v>
      </c>
      <c r="AG42" s="74">
        <f ca="1">SUM(AG39:AG41)</f>
        <v>0</v>
      </c>
      <c r="AH42" s="74">
        <f ca="1">SUM(AH39:AH41)</f>
        <v>0</v>
      </c>
      <c r="AI42" s="72">
        <f t="shared" ca="1" si="29"/>
        <v>0</v>
      </c>
      <c r="AQ42" s="49"/>
    </row>
    <row r="43" spans="1:43" ht="14.4" x14ac:dyDescent="0.55000000000000004">
      <c r="A43" s="13" t="s">
        <v>135</v>
      </c>
      <c r="B43" s="67"/>
      <c r="C43" s="69"/>
      <c r="D43" s="67"/>
      <c r="E43" s="69"/>
      <c r="F43" s="67"/>
      <c r="G43" s="69"/>
      <c r="H43" s="67"/>
      <c r="I43" s="69"/>
      <c r="J43" s="67"/>
      <c r="K43" s="68"/>
      <c r="L43" s="67"/>
      <c r="M43" s="69"/>
      <c r="N43" s="67"/>
      <c r="O43" s="69"/>
      <c r="P43" s="67"/>
      <c r="Q43" s="69"/>
      <c r="R43" s="67"/>
      <c r="S43" s="69"/>
      <c r="T43" s="67"/>
      <c r="U43" s="68"/>
      <c r="V43" s="67"/>
      <c r="W43" s="69"/>
      <c r="X43" s="67"/>
      <c r="Y43" s="69"/>
      <c r="Z43" s="68">
        <f t="shared" si="0"/>
        <v>0</v>
      </c>
      <c r="AA43" s="69">
        <f t="shared" ref="AA43:AA49" si="31">SUM(C43,E43,G43,I43,K43,M43,O43,Q43,S43,U43,W43,Y43)</f>
        <v>0</v>
      </c>
      <c r="AC43" s="69" cm="1">
        <f t="array" aca="1" ref="AC43" ca="1">_xlfn.LET(_xlpm.myRng, OFFSET($B43,0,0,1,2*myMonth-1),
      SUMPRODUCT((MOD(COLUMN(_xlpm.myRng)-COLUMN($B43),2)=0)*_xlpm.myRng)
    )</f>
        <v>0</v>
      </c>
      <c r="AD43" s="69">
        <f t="shared" si="26"/>
        <v>0</v>
      </c>
      <c r="AE43" s="93">
        <f t="shared" ca="1" si="28"/>
        <v>0</v>
      </c>
      <c r="AG43" s="69" cm="1">
        <f t="array" aca="1" ref="AG43" ca="1">_xlfn.LET(_xlpm.myRng, OFFSET($B43,0,2*(myMonth-1),1,1),
      SUMPRODUCT((MOD(COLUMN(_xlpm.myRng)-COLUMN($B43),2)=0)*_xlpm.myRng)
    )</f>
        <v>0</v>
      </c>
      <c r="AH43" s="71" cm="1">
        <f t="array" aca="1" ref="AH43" ca="1">_xlfn.LET(_xlpm.myRng, OFFSET($C43,0,2*(myMonth-1),1,1),
      SUMPRODUCT((MOD(COLUMN(_xlpm.myRng)-COLUMN($C43),2)=0)*_xlpm.myRng)
    )</f>
        <v>0</v>
      </c>
      <c r="AI43" s="93">
        <f t="shared" ca="1" si="29"/>
        <v>0</v>
      </c>
      <c r="AQ43" s="49"/>
    </row>
    <row r="44" spans="1:43" ht="14.4" x14ac:dyDescent="0.55000000000000004">
      <c r="A44" s="13" t="s">
        <v>136</v>
      </c>
      <c r="B44" s="67"/>
      <c r="C44" s="69"/>
      <c r="D44" s="67">
        <v>225</v>
      </c>
      <c r="E44" s="69"/>
      <c r="F44" s="67">
        <v>225</v>
      </c>
      <c r="G44" s="69">
        <v>1200</v>
      </c>
      <c r="H44" s="67">
        <v>750</v>
      </c>
      <c r="I44" s="69">
        <v>996</v>
      </c>
      <c r="J44" s="67">
        <v>750</v>
      </c>
      <c r="K44" s="70">
        <v>767.5</v>
      </c>
      <c r="L44" s="67">
        <v>225</v>
      </c>
      <c r="M44" s="69"/>
      <c r="N44" s="67">
        <v>225</v>
      </c>
      <c r="O44" s="69"/>
      <c r="P44" s="67">
        <v>750</v>
      </c>
      <c r="Q44" s="69"/>
      <c r="R44" s="67">
        <v>750</v>
      </c>
      <c r="S44" s="69"/>
      <c r="T44" s="67">
        <v>750</v>
      </c>
      <c r="U44" s="70"/>
      <c r="V44" s="67">
        <v>225</v>
      </c>
      <c r="W44" s="69"/>
      <c r="X44" s="67"/>
      <c r="Y44" s="69"/>
      <c r="Z44" s="68">
        <f t="shared" si="0"/>
        <v>4875</v>
      </c>
      <c r="AA44" s="71">
        <f t="shared" si="31"/>
        <v>2963.5</v>
      </c>
      <c r="AC44" s="69" cm="1">
        <f t="array" aca="1" ref="AC44" ca="1">_xlfn.LET(_xlpm.myRng, OFFSET($B44,0,0,1,2*myMonth-1),
      SUMPRODUCT((MOD(COLUMN(_xlpm.myRng)-COLUMN($B44),2)=0)*_xlpm.myRng)
    )</f>
        <v>1950</v>
      </c>
      <c r="AD44" s="69">
        <f t="shared" si="26"/>
        <v>2963.5</v>
      </c>
      <c r="AE44" s="93">
        <f t="shared" ca="1" si="28"/>
        <v>-1013.5</v>
      </c>
      <c r="AG44" s="69" cm="1">
        <f t="array" aca="1" ref="AG44" ca="1">_xlfn.LET(_xlpm.myRng, OFFSET($B44,0,2*(myMonth-1),1,1),
      SUMPRODUCT((MOD(COLUMN(_xlpm.myRng)-COLUMN($B44),2)=0)*_xlpm.myRng)
    )</f>
        <v>750</v>
      </c>
      <c r="AH44" s="71" cm="1">
        <f t="array" aca="1" ref="AH44" ca="1">_xlfn.LET(_xlpm.myRng, OFFSET($C44,0,2*(myMonth-1),1,1),
      SUMPRODUCT((MOD(COLUMN(_xlpm.myRng)-COLUMN($C44),2)=0)*_xlpm.myRng)
    )</f>
        <v>767.5</v>
      </c>
      <c r="AI44" s="93">
        <f t="shared" ca="1" si="29"/>
        <v>-17.5</v>
      </c>
      <c r="AQ44" s="49"/>
    </row>
    <row r="45" spans="1:43" ht="14.4" x14ac:dyDescent="0.55000000000000004">
      <c r="A45" s="13" t="s">
        <v>137</v>
      </c>
      <c r="B45" s="67"/>
      <c r="C45" s="69"/>
      <c r="D45" s="67"/>
      <c r="E45" s="69"/>
      <c r="F45" s="67"/>
      <c r="G45" s="69"/>
      <c r="H45" s="67"/>
      <c r="I45" s="69"/>
      <c r="J45" s="67"/>
      <c r="K45" s="68"/>
      <c r="L45" s="67"/>
      <c r="M45" s="69"/>
      <c r="N45" s="67"/>
      <c r="O45" s="69"/>
      <c r="P45" s="67"/>
      <c r="Q45" s="69"/>
      <c r="R45" s="67"/>
      <c r="S45" s="69"/>
      <c r="T45" s="67"/>
      <c r="U45" s="68"/>
      <c r="V45" s="67"/>
      <c r="W45" s="69"/>
      <c r="X45" s="67"/>
      <c r="Y45" s="69"/>
      <c r="Z45" s="68">
        <f t="shared" si="0"/>
        <v>0</v>
      </c>
      <c r="AA45" s="71">
        <f t="shared" si="31"/>
        <v>0</v>
      </c>
      <c r="AC45" s="69" cm="1">
        <f t="array" aca="1" ref="AC45" ca="1">_xlfn.LET(_xlpm.myRng, OFFSET($B45,0,0,1,2*myMonth-1),
      SUMPRODUCT((MOD(COLUMN(_xlpm.myRng)-COLUMN($B45),2)=0)*_xlpm.myRng)
    )</f>
        <v>0</v>
      </c>
      <c r="AD45" s="69">
        <f t="shared" si="26"/>
        <v>0</v>
      </c>
      <c r="AE45" s="93">
        <f t="shared" ca="1" si="28"/>
        <v>0</v>
      </c>
      <c r="AG45" s="69" cm="1">
        <f t="array" aca="1" ref="AG45" ca="1">_xlfn.LET(_xlpm.myRng, OFFSET($B45,0,2*(myMonth-1),1,1),
      SUMPRODUCT((MOD(COLUMN(_xlpm.myRng)-COLUMN($B45),2)=0)*_xlpm.myRng)
    )</f>
        <v>0</v>
      </c>
      <c r="AH45" s="71" cm="1">
        <f t="array" aca="1" ref="AH45" ca="1">_xlfn.LET(_xlpm.myRng, OFFSET($C45,0,2*(myMonth-1),1,1),
      SUMPRODUCT((MOD(COLUMN(_xlpm.myRng)-COLUMN($C45),2)=0)*_xlpm.myRng)
    )</f>
        <v>0</v>
      </c>
      <c r="AI45" s="93">
        <f t="shared" ca="1" si="29"/>
        <v>0</v>
      </c>
      <c r="AQ45" s="49"/>
    </row>
    <row r="46" spans="1:43" ht="14.4" x14ac:dyDescent="0.55000000000000004">
      <c r="A46" s="13" t="s">
        <v>138</v>
      </c>
      <c r="B46" s="67"/>
      <c r="C46" s="69"/>
      <c r="D46" s="67"/>
      <c r="E46" s="69"/>
      <c r="F46" s="67"/>
      <c r="G46" s="69"/>
      <c r="H46" s="67"/>
      <c r="I46" s="69"/>
      <c r="J46" s="67"/>
      <c r="K46" s="68"/>
      <c r="L46" s="67"/>
      <c r="M46" s="69"/>
      <c r="N46" s="67"/>
      <c r="O46" s="69"/>
      <c r="P46" s="67"/>
      <c r="Q46" s="69"/>
      <c r="R46" s="67"/>
      <c r="S46" s="69"/>
      <c r="T46" s="67"/>
      <c r="U46" s="68"/>
      <c r="V46" s="67"/>
      <c r="W46" s="69"/>
      <c r="X46" s="67"/>
      <c r="Y46" s="69"/>
      <c r="Z46" s="68">
        <f t="shared" si="0"/>
        <v>0</v>
      </c>
      <c r="AA46" s="71">
        <f t="shared" si="31"/>
        <v>0</v>
      </c>
      <c r="AC46" s="69" cm="1">
        <f t="array" aca="1" ref="AC46" ca="1">_xlfn.LET(_xlpm.myRng, OFFSET($B46,0,0,1,2*myMonth-1),
      SUMPRODUCT((MOD(COLUMN(_xlpm.myRng)-COLUMN($B46),2)=0)*_xlpm.myRng)
    )</f>
        <v>0</v>
      </c>
      <c r="AD46" s="69">
        <f t="shared" si="26"/>
        <v>0</v>
      </c>
      <c r="AE46" s="93">
        <f t="shared" ca="1" si="28"/>
        <v>0</v>
      </c>
      <c r="AG46" s="69" cm="1">
        <f t="array" aca="1" ref="AG46" ca="1">_xlfn.LET(_xlpm.myRng, OFFSET($B46,0,2*(myMonth-1),1,1),
      SUMPRODUCT((MOD(COLUMN(_xlpm.myRng)-COLUMN($B46),2)=0)*_xlpm.myRng)
    )</f>
        <v>0</v>
      </c>
      <c r="AH46" s="71" cm="1">
        <f t="array" aca="1" ref="AH46" ca="1">_xlfn.LET(_xlpm.myRng, OFFSET($C46,0,2*(myMonth-1),1,1),
      SUMPRODUCT((MOD(COLUMN(_xlpm.myRng)-COLUMN($C46),2)=0)*_xlpm.myRng)
    )</f>
        <v>0</v>
      </c>
      <c r="AI46" s="93">
        <f t="shared" ca="1" si="29"/>
        <v>0</v>
      </c>
      <c r="AQ46" s="49"/>
    </row>
    <row r="47" spans="1:43" ht="14.4" x14ac:dyDescent="0.55000000000000004">
      <c r="A47" s="13" t="s">
        <v>139</v>
      </c>
      <c r="B47" s="67"/>
      <c r="C47" s="69"/>
      <c r="D47" s="67"/>
      <c r="E47" s="69"/>
      <c r="F47" s="67"/>
      <c r="G47" s="69"/>
      <c r="H47" s="67">
        <v>40</v>
      </c>
      <c r="I47" s="69"/>
      <c r="J47" s="67">
        <v>40</v>
      </c>
      <c r="K47" s="68"/>
      <c r="L47" s="67"/>
      <c r="M47" s="69"/>
      <c r="N47" s="67"/>
      <c r="O47" s="69"/>
      <c r="P47" s="67">
        <v>40</v>
      </c>
      <c r="Q47" s="69"/>
      <c r="R47" s="67">
        <v>40</v>
      </c>
      <c r="S47" s="69"/>
      <c r="T47" s="67">
        <v>40</v>
      </c>
      <c r="U47" s="68"/>
      <c r="V47" s="67"/>
      <c r="W47" s="69"/>
      <c r="X47" s="67"/>
      <c r="Y47" s="69"/>
      <c r="Z47" s="68">
        <f t="shared" si="0"/>
        <v>200</v>
      </c>
      <c r="AA47" s="71">
        <f t="shared" si="31"/>
        <v>0</v>
      </c>
      <c r="AC47" s="69" cm="1">
        <f t="array" aca="1" ref="AC47" ca="1">_xlfn.LET(_xlpm.myRng, OFFSET($B47,0,0,1,2*myMonth-1),
      SUMPRODUCT((MOD(COLUMN(_xlpm.myRng)-COLUMN($B47),2)=0)*_xlpm.myRng)
    )</f>
        <v>80</v>
      </c>
      <c r="AD47" s="69">
        <f t="shared" si="26"/>
        <v>0</v>
      </c>
      <c r="AE47" s="93">
        <f t="shared" ca="1" si="28"/>
        <v>80</v>
      </c>
      <c r="AG47" s="69" cm="1">
        <f t="array" aca="1" ref="AG47" ca="1">_xlfn.LET(_xlpm.myRng, OFFSET($B47,0,2*(myMonth-1),1,1),
      SUMPRODUCT((MOD(COLUMN(_xlpm.myRng)-COLUMN($B47),2)=0)*_xlpm.myRng)
    )</f>
        <v>40</v>
      </c>
      <c r="AH47" s="71" cm="1">
        <f t="array" aca="1" ref="AH47" ca="1">_xlfn.LET(_xlpm.myRng, OFFSET($C47,0,2*(myMonth-1),1,1),
      SUMPRODUCT((MOD(COLUMN(_xlpm.myRng)-COLUMN($C47),2)=0)*_xlpm.myRng)
    )</f>
        <v>0</v>
      </c>
      <c r="AI47" s="93">
        <f t="shared" ca="1" si="29"/>
        <v>40</v>
      </c>
      <c r="AQ47" s="49"/>
    </row>
    <row r="48" spans="1:43" ht="14.4" x14ac:dyDescent="0.55000000000000004">
      <c r="A48" s="13" t="s">
        <v>140</v>
      </c>
      <c r="B48" s="67"/>
      <c r="C48" s="69"/>
      <c r="D48" s="67"/>
      <c r="E48" s="69"/>
      <c r="F48" s="67"/>
      <c r="G48" s="69"/>
      <c r="H48" s="67"/>
      <c r="I48" s="69"/>
      <c r="J48" s="67"/>
      <c r="K48" s="68"/>
      <c r="L48" s="67"/>
      <c r="M48" s="69"/>
      <c r="N48" s="67"/>
      <c r="O48" s="69"/>
      <c r="P48" s="67"/>
      <c r="Q48" s="69"/>
      <c r="R48" s="67"/>
      <c r="S48" s="69"/>
      <c r="T48" s="67"/>
      <c r="U48" s="68"/>
      <c r="V48" s="67"/>
      <c r="W48" s="69"/>
      <c r="X48" s="67"/>
      <c r="Y48" s="69"/>
      <c r="Z48" s="68">
        <f t="shared" si="0"/>
        <v>0</v>
      </c>
      <c r="AA48" s="71">
        <f t="shared" si="31"/>
        <v>0</v>
      </c>
      <c r="AC48" s="69" cm="1">
        <f t="array" aca="1" ref="AC48" ca="1">_xlfn.LET(_xlpm.myRng, OFFSET($B48,0,0,1,2*myMonth-1),
      SUMPRODUCT((MOD(COLUMN(_xlpm.myRng)-COLUMN($B48),2)=0)*_xlpm.myRng)
    )</f>
        <v>0</v>
      </c>
      <c r="AD48" s="69">
        <f t="shared" si="26"/>
        <v>0</v>
      </c>
      <c r="AE48" s="93">
        <f t="shared" ca="1" si="28"/>
        <v>0</v>
      </c>
      <c r="AG48" s="69" cm="1">
        <f t="array" aca="1" ref="AG48" ca="1">_xlfn.LET(_xlpm.myRng, OFFSET($B48,0,2*(myMonth-1),1,1),
      SUMPRODUCT((MOD(COLUMN(_xlpm.myRng)-COLUMN($B48),2)=0)*_xlpm.myRng)
    )</f>
        <v>0</v>
      </c>
      <c r="AH48" s="71" cm="1">
        <f t="array" aca="1" ref="AH48" ca="1">_xlfn.LET(_xlpm.myRng, OFFSET($C48,0,2*(myMonth-1),1,1),
      SUMPRODUCT((MOD(COLUMN(_xlpm.myRng)-COLUMN($C48),2)=0)*_xlpm.myRng)
    )</f>
        <v>0</v>
      </c>
      <c r="AI48" s="93">
        <f t="shared" ca="1" si="29"/>
        <v>0</v>
      </c>
      <c r="AQ48" s="49"/>
    </row>
    <row r="49" spans="1:43" ht="14.4" x14ac:dyDescent="0.55000000000000004">
      <c r="A49" s="13" t="s">
        <v>141</v>
      </c>
      <c r="B49" s="67"/>
      <c r="C49" s="69"/>
      <c r="D49" s="67"/>
      <c r="E49" s="69"/>
      <c r="F49" s="67"/>
      <c r="G49" s="69"/>
      <c r="H49" s="67"/>
      <c r="I49" s="69"/>
      <c r="J49" s="67"/>
      <c r="K49" s="68"/>
      <c r="L49" s="67"/>
      <c r="M49" s="69"/>
      <c r="N49" s="67"/>
      <c r="O49" s="69"/>
      <c r="P49" s="67"/>
      <c r="Q49" s="69"/>
      <c r="R49" s="67"/>
      <c r="S49" s="69"/>
      <c r="T49" s="67"/>
      <c r="U49" s="68"/>
      <c r="V49" s="67"/>
      <c r="W49" s="69"/>
      <c r="X49" s="67"/>
      <c r="Y49" s="69"/>
      <c r="Z49" s="68">
        <f t="shared" si="0"/>
        <v>0</v>
      </c>
      <c r="AA49" s="69">
        <f t="shared" si="31"/>
        <v>0</v>
      </c>
      <c r="AC49" s="69" cm="1">
        <f t="array" aca="1" ref="AC49" ca="1">_xlfn.LET(_xlpm.myRng, OFFSET($B49,0,0,1,2*myMonth-1),
      SUMPRODUCT((MOD(COLUMN(_xlpm.myRng)-COLUMN($B49),2)=0)*_xlpm.myRng)
    )</f>
        <v>0</v>
      </c>
      <c r="AD49" s="69">
        <f t="shared" si="26"/>
        <v>0</v>
      </c>
      <c r="AE49" s="93">
        <f t="shared" ca="1" si="28"/>
        <v>0</v>
      </c>
      <c r="AG49" s="69" cm="1">
        <f t="array" aca="1" ref="AG49" ca="1">_xlfn.LET(_xlpm.myRng, OFFSET($B49,0,2*(myMonth-1),1,1),
      SUMPRODUCT((MOD(COLUMN(_xlpm.myRng)-COLUMN($B49),2)=0)*_xlpm.myRng)
    )</f>
        <v>0</v>
      </c>
      <c r="AH49" s="71" cm="1">
        <f t="array" aca="1" ref="AH49" ca="1">_xlfn.LET(_xlpm.myRng, OFFSET($C49,0,2*(myMonth-1),1,1),
      SUMPRODUCT((MOD(COLUMN(_xlpm.myRng)-COLUMN($C49),2)=0)*_xlpm.myRng)
    )</f>
        <v>0</v>
      </c>
      <c r="AI49" s="93">
        <f t="shared" ca="1" si="29"/>
        <v>0</v>
      </c>
      <c r="AQ49" s="49"/>
    </row>
    <row r="50" spans="1:43" ht="14.4" x14ac:dyDescent="0.55000000000000004">
      <c r="A50" s="12" t="s">
        <v>142</v>
      </c>
      <c r="B50" s="72">
        <f t="shared" ref="B50" si="32">SUM(B43:B49)</f>
        <v>0</v>
      </c>
      <c r="C50" s="74">
        <f t="shared" ref="C50:AA50" si="33">SUM(C43:C49)</f>
        <v>0</v>
      </c>
      <c r="D50" s="72">
        <f t="shared" si="33"/>
        <v>225</v>
      </c>
      <c r="E50" s="74">
        <f t="shared" si="33"/>
        <v>0</v>
      </c>
      <c r="F50" s="72">
        <f t="shared" si="33"/>
        <v>225</v>
      </c>
      <c r="G50" s="74">
        <f t="shared" si="33"/>
        <v>1200</v>
      </c>
      <c r="H50" s="72">
        <f t="shared" si="33"/>
        <v>790</v>
      </c>
      <c r="I50" s="74">
        <f t="shared" si="33"/>
        <v>996</v>
      </c>
      <c r="J50" s="72">
        <f t="shared" si="33"/>
        <v>790</v>
      </c>
      <c r="K50" s="73">
        <f t="shared" si="33"/>
        <v>767.5</v>
      </c>
      <c r="L50" s="72">
        <f t="shared" si="33"/>
        <v>225</v>
      </c>
      <c r="M50" s="74">
        <f t="shared" si="33"/>
        <v>0</v>
      </c>
      <c r="N50" s="72">
        <f t="shared" si="33"/>
        <v>225</v>
      </c>
      <c r="O50" s="74">
        <f t="shared" si="33"/>
        <v>0</v>
      </c>
      <c r="P50" s="72">
        <f t="shared" si="33"/>
        <v>790</v>
      </c>
      <c r="Q50" s="74">
        <f t="shared" si="33"/>
        <v>0</v>
      </c>
      <c r="R50" s="72">
        <f t="shared" si="33"/>
        <v>790</v>
      </c>
      <c r="S50" s="74">
        <f t="shared" si="33"/>
        <v>0</v>
      </c>
      <c r="T50" s="72">
        <f t="shared" si="33"/>
        <v>790</v>
      </c>
      <c r="U50" s="73">
        <f t="shared" si="33"/>
        <v>0</v>
      </c>
      <c r="V50" s="72">
        <f>SUM(V43:V49)</f>
        <v>225</v>
      </c>
      <c r="W50" s="74">
        <f t="shared" si="33"/>
        <v>0</v>
      </c>
      <c r="X50" s="72">
        <f t="shared" si="33"/>
        <v>0</v>
      </c>
      <c r="Y50" s="74">
        <f t="shared" si="33"/>
        <v>0</v>
      </c>
      <c r="Z50" s="73">
        <f t="shared" si="0"/>
        <v>5075</v>
      </c>
      <c r="AA50" s="74">
        <f t="shared" si="33"/>
        <v>2963.5</v>
      </c>
      <c r="AC50" s="74">
        <f t="shared" ref="AC50:AD50" ca="1" si="34">SUM(AC43:AC49)</f>
        <v>2030</v>
      </c>
      <c r="AD50" s="74">
        <f t="shared" si="34"/>
        <v>2963.5</v>
      </c>
      <c r="AE50" s="72">
        <f t="shared" ca="1" si="28"/>
        <v>-933.5</v>
      </c>
      <c r="AG50" s="74">
        <f t="shared" ref="AG50:AH50" ca="1" si="35">SUM(AG43:AG49)</f>
        <v>790</v>
      </c>
      <c r="AH50" s="74">
        <f t="shared" ca="1" si="35"/>
        <v>767.5</v>
      </c>
      <c r="AI50" s="72">
        <f t="shared" ca="1" si="29"/>
        <v>22.5</v>
      </c>
      <c r="AQ50" s="49"/>
    </row>
    <row r="51" spans="1:43" ht="14.4" x14ac:dyDescent="0.55000000000000004">
      <c r="A51" s="13" t="s">
        <v>143</v>
      </c>
      <c r="B51" s="67"/>
      <c r="C51" s="69"/>
      <c r="D51" s="67"/>
      <c r="E51" s="69"/>
      <c r="F51" s="67"/>
      <c r="G51" s="69"/>
      <c r="H51" s="67"/>
      <c r="I51" s="69"/>
      <c r="J51" s="67"/>
      <c r="K51" s="68"/>
      <c r="L51" s="67"/>
      <c r="M51" s="69"/>
      <c r="N51" s="67"/>
      <c r="O51" s="69"/>
      <c r="P51" s="67"/>
      <c r="Q51" s="69"/>
      <c r="R51" s="67"/>
      <c r="S51" s="69"/>
      <c r="T51" s="67"/>
      <c r="U51" s="68"/>
      <c r="V51" s="67"/>
      <c r="W51" s="69"/>
      <c r="X51" s="67"/>
      <c r="Y51" s="69"/>
      <c r="Z51" s="68">
        <f t="shared" si="0"/>
        <v>0</v>
      </c>
      <c r="AA51" s="69">
        <f>SUM(C51,E51,G51,I51,K51,M51,O51,Q51,S51,U51,W51,Y51)</f>
        <v>0</v>
      </c>
      <c r="AC51" s="69" cm="1">
        <f t="array" aca="1" ref="AC51" ca="1">_xlfn.LET(_xlpm.myRng, OFFSET($B51,0,0,1,2*myMonth-1),
      SUMPRODUCT((MOD(COLUMN(_xlpm.myRng)-COLUMN($B51),2)=0)*_xlpm.myRng)
    )</f>
        <v>0</v>
      </c>
      <c r="AD51" s="69">
        <f t="shared" si="26"/>
        <v>0</v>
      </c>
      <c r="AE51" s="93">
        <f t="shared" ca="1" si="28"/>
        <v>0</v>
      </c>
      <c r="AG51" s="69" cm="1">
        <f t="array" aca="1" ref="AG51" ca="1">_xlfn.LET(_xlpm.myRng, OFFSET($B51,0,2*(myMonth-1),1,1),
      SUMPRODUCT((MOD(COLUMN(_xlpm.myRng)-COLUMN($B51),2)=0)*_xlpm.myRng)
    )</f>
        <v>0</v>
      </c>
      <c r="AH51" s="71" cm="1">
        <f t="array" aca="1" ref="AH51" ca="1">_xlfn.LET(_xlpm.myRng, OFFSET($C51,0,2*(myMonth-1),1,1),
      SUMPRODUCT((MOD(COLUMN(_xlpm.myRng)-COLUMN($C51),2)=0)*_xlpm.myRng)
    )</f>
        <v>0</v>
      </c>
      <c r="AI51" s="93">
        <f t="shared" ca="1" si="29"/>
        <v>0</v>
      </c>
      <c r="AQ51" s="49"/>
    </row>
    <row r="52" spans="1:43" ht="14.4" x14ac:dyDescent="0.55000000000000004">
      <c r="A52" s="12" t="s">
        <v>144</v>
      </c>
      <c r="B52" s="72">
        <f t="shared" ref="B52" si="36">B42+B50+B51</f>
        <v>0</v>
      </c>
      <c r="C52" s="74">
        <f t="shared" ref="C52:AD52" si="37">C42+C50+C51</f>
        <v>0</v>
      </c>
      <c r="D52" s="72">
        <f t="shared" si="37"/>
        <v>225</v>
      </c>
      <c r="E52" s="74">
        <f t="shared" si="37"/>
        <v>0</v>
      </c>
      <c r="F52" s="72">
        <f t="shared" si="37"/>
        <v>225</v>
      </c>
      <c r="G52" s="74">
        <f t="shared" si="37"/>
        <v>1200</v>
      </c>
      <c r="H52" s="72">
        <f t="shared" si="37"/>
        <v>790</v>
      </c>
      <c r="I52" s="74">
        <f t="shared" si="37"/>
        <v>996</v>
      </c>
      <c r="J52" s="72">
        <f t="shared" si="37"/>
        <v>790</v>
      </c>
      <c r="K52" s="73">
        <f t="shared" si="37"/>
        <v>767.5</v>
      </c>
      <c r="L52" s="72">
        <f t="shared" si="37"/>
        <v>225</v>
      </c>
      <c r="M52" s="74">
        <f t="shared" si="37"/>
        <v>0</v>
      </c>
      <c r="N52" s="72">
        <f t="shared" si="37"/>
        <v>225</v>
      </c>
      <c r="O52" s="74">
        <f t="shared" si="37"/>
        <v>0</v>
      </c>
      <c r="P52" s="72">
        <f t="shared" si="37"/>
        <v>790</v>
      </c>
      <c r="Q52" s="74">
        <f t="shared" si="37"/>
        <v>0</v>
      </c>
      <c r="R52" s="72">
        <f t="shared" si="37"/>
        <v>790</v>
      </c>
      <c r="S52" s="74">
        <f t="shared" si="37"/>
        <v>0</v>
      </c>
      <c r="T52" s="72">
        <f t="shared" si="37"/>
        <v>790</v>
      </c>
      <c r="U52" s="73">
        <f t="shared" si="37"/>
        <v>0</v>
      </c>
      <c r="V52" s="72">
        <f t="shared" si="37"/>
        <v>225</v>
      </c>
      <c r="W52" s="74">
        <f t="shared" si="37"/>
        <v>0</v>
      </c>
      <c r="X52" s="72">
        <f t="shared" si="37"/>
        <v>0</v>
      </c>
      <c r="Y52" s="74">
        <f t="shared" si="37"/>
        <v>0</v>
      </c>
      <c r="Z52" s="73">
        <f t="shared" si="0"/>
        <v>5075</v>
      </c>
      <c r="AA52" s="74">
        <f t="shared" si="37"/>
        <v>2963.5</v>
      </c>
      <c r="AC52" s="74">
        <f t="shared" ca="1" si="37"/>
        <v>2030</v>
      </c>
      <c r="AD52" s="74">
        <f t="shared" si="37"/>
        <v>2963.5</v>
      </c>
      <c r="AE52" s="72">
        <f t="shared" ca="1" si="28"/>
        <v>-933.5</v>
      </c>
      <c r="AG52" s="74">
        <f t="shared" ref="AG52:AH52" ca="1" si="38">AG42+AG50+AG51</f>
        <v>790</v>
      </c>
      <c r="AH52" s="74">
        <f t="shared" ca="1" si="38"/>
        <v>767.5</v>
      </c>
      <c r="AI52" s="72">
        <f t="shared" ca="1" si="29"/>
        <v>22.5</v>
      </c>
      <c r="AQ52" s="49"/>
    </row>
    <row r="53" spans="1:43" ht="14.4" x14ac:dyDescent="0.55000000000000004">
      <c r="A53" s="13" t="s">
        <v>145</v>
      </c>
      <c r="B53" s="67">
        <v>0</v>
      </c>
      <c r="C53" s="69"/>
      <c r="D53" s="67">
        <v>0</v>
      </c>
      <c r="E53" s="69"/>
      <c r="F53" s="67">
        <v>0</v>
      </c>
      <c r="G53" s="69"/>
      <c r="H53" s="67">
        <v>0</v>
      </c>
      <c r="I53" s="69"/>
      <c r="J53" s="67">
        <v>0</v>
      </c>
      <c r="K53" s="68"/>
      <c r="L53" s="67">
        <v>0</v>
      </c>
      <c r="M53" s="69"/>
      <c r="N53" s="67">
        <v>0</v>
      </c>
      <c r="O53" s="69"/>
      <c r="P53" s="67">
        <v>0</v>
      </c>
      <c r="Q53" s="69"/>
      <c r="R53" s="67">
        <v>0</v>
      </c>
      <c r="S53" s="69"/>
      <c r="T53" s="67">
        <v>0</v>
      </c>
      <c r="U53" s="68"/>
      <c r="V53" s="67">
        <v>0</v>
      </c>
      <c r="W53" s="69"/>
      <c r="X53" s="67">
        <v>0</v>
      </c>
      <c r="Y53" s="69"/>
      <c r="Z53" s="68">
        <f t="shared" si="0"/>
        <v>0</v>
      </c>
      <c r="AA53" s="69">
        <f t="shared" ref="AA53:AA55" si="39">SUM(C53,E53,G53,I53,K53,M53,O53,Q53,S53,U53,W53,Y53)</f>
        <v>0</v>
      </c>
      <c r="AC53" s="69" cm="1">
        <f t="array" aca="1" ref="AC53" ca="1">_xlfn.LET(_xlpm.myRng, OFFSET($B53,0,0,1,2*myMonth-1),
      SUMPRODUCT((MOD(COLUMN(_xlpm.myRng)-COLUMN($B53),2)=0)*_xlpm.myRng)
    )</f>
        <v>0</v>
      </c>
      <c r="AD53" s="69">
        <f t="shared" si="26"/>
        <v>0</v>
      </c>
      <c r="AE53" s="93">
        <f t="shared" ca="1" si="28"/>
        <v>0</v>
      </c>
      <c r="AG53" s="69" cm="1">
        <f t="array" aca="1" ref="AG53" ca="1">_xlfn.LET(_xlpm.myRng, OFFSET($B53,0,2*(myMonth-1),1,1),
      SUMPRODUCT((MOD(COLUMN(_xlpm.myRng)-COLUMN($B53),2)=0)*_xlpm.myRng)
    )</f>
        <v>0</v>
      </c>
      <c r="AH53" s="71" cm="1">
        <f t="array" aca="1" ref="AH53" ca="1">_xlfn.LET(_xlpm.myRng, OFFSET($C53,0,2*(myMonth-1),1,1),
      SUMPRODUCT((MOD(COLUMN(_xlpm.myRng)-COLUMN($C53),2)=0)*_xlpm.myRng)
    )</f>
        <v>0</v>
      </c>
      <c r="AI53" s="93">
        <f t="shared" ca="1" si="29"/>
        <v>0</v>
      </c>
      <c r="AQ53" s="49"/>
    </row>
    <row r="54" spans="1:43" ht="14.4" x14ac:dyDescent="0.55000000000000004">
      <c r="A54" s="13" t="s">
        <v>146</v>
      </c>
      <c r="B54" s="67"/>
      <c r="C54" s="69"/>
      <c r="D54" s="67"/>
      <c r="E54" s="69"/>
      <c r="F54" s="67"/>
      <c r="G54" s="69"/>
      <c r="H54" s="67"/>
      <c r="I54" s="69"/>
      <c r="J54" s="67"/>
      <c r="K54" s="68"/>
      <c r="L54" s="67"/>
      <c r="M54" s="69"/>
      <c r="N54" s="67"/>
      <c r="O54" s="69"/>
      <c r="P54" s="67"/>
      <c r="Q54" s="69"/>
      <c r="R54" s="67"/>
      <c r="S54" s="69"/>
      <c r="T54" s="67"/>
      <c r="U54" s="68"/>
      <c r="V54" s="67"/>
      <c r="W54" s="69"/>
      <c r="X54" s="67"/>
      <c r="Y54" s="69"/>
      <c r="Z54" s="68">
        <f t="shared" si="0"/>
        <v>0</v>
      </c>
      <c r="AA54" s="69">
        <f t="shared" si="39"/>
        <v>0</v>
      </c>
      <c r="AC54" s="69" cm="1">
        <f t="array" aca="1" ref="AC54" ca="1">_xlfn.LET(_xlpm.myRng, OFFSET($B54,0,0,1,2*myMonth-1),
      SUMPRODUCT((MOD(COLUMN(_xlpm.myRng)-COLUMN($B54),2)=0)*_xlpm.myRng)
    )</f>
        <v>0</v>
      </c>
      <c r="AD54" s="69">
        <f t="shared" si="26"/>
        <v>0</v>
      </c>
      <c r="AE54" s="93">
        <f t="shared" ca="1" si="28"/>
        <v>0</v>
      </c>
      <c r="AG54" s="69" cm="1">
        <f t="array" aca="1" ref="AG54" ca="1">_xlfn.LET(_xlpm.myRng, OFFSET($B54,0,2*(myMonth-1),1,1),
      SUMPRODUCT((MOD(COLUMN(_xlpm.myRng)-COLUMN($B54),2)=0)*_xlpm.myRng)
    )</f>
        <v>0</v>
      </c>
      <c r="AH54" s="71" cm="1">
        <f t="array" aca="1" ref="AH54" ca="1">_xlfn.LET(_xlpm.myRng, OFFSET($C54,0,2*(myMonth-1),1,1),
      SUMPRODUCT((MOD(COLUMN(_xlpm.myRng)-COLUMN($C54),2)=0)*_xlpm.myRng)
    )</f>
        <v>0</v>
      </c>
      <c r="AI54" s="93">
        <f t="shared" ca="1" si="29"/>
        <v>0</v>
      </c>
      <c r="AQ54" s="49"/>
    </row>
    <row r="55" spans="1:43" ht="14.4" x14ac:dyDescent="0.55000000000000004">
      <c r="A55" s="13" t="s">
        <v>147</v>
      </c>
      <c r="B55" s="67">
        <v>0</v>
      </c>
      <c r="C55" s="69"/>
      <c r="D55" s="67">
        <v>0</v>
      </c>
      <c r="E55" s="69"/>
      <c r="F55" s="67">
        <v>0</v>
      </c>
      <c r="G55" s="69"/>
      <c r="H55" s="67">
        <v>0</v>
      </c>
      <c r="I55" s="69"/>
      <c r="J55" s="67">
        <v>0</v>
      </c>
      <c r="K55" s="68"/>
      <c r="L55" s="67">
        <v>0</v>
      </c>
      <c r="M55" s="69"/>
      <c r="N55" s="67">
        <v>0</v>
      </c>
      <c r="O55" s="69"/>
      <c r="P55" s="67">
        <v>0</v>
      </c>
      <c r="Q55" s="69"/>
      <c r="R55" s="67">
        <v>0</v>
      </c>
      <c r="S55" s="69"/>
      <c r="T55" s="67">
        <v>0</v>
      </c>
      <c r="U55" s="68"/>
      <c r="V55" s="67">
        <v>0</v>
      </c>
      <c r="W55" s="69"/>
      <c r="X55" s="67">
        <v>0</v>
      </c>
      <c r="Y55" s="69"/>
      <c r="Z55" s="68">
        <f t="shared" si="0"/>
        <v>0</v>
      </c>
      <c r="AA55" s="69">
        <f t="shared" si="39"/>
        <v>0</v>
      </c>
      <c r="AC55" s="69" cm="1">
        <f t="array" aca="1" ref="AC55" ca="1">_xlfn.LET(_xlpm.myRng, OFFSET($B55,0,0,1,2*myMonth-1),
      SUMPRODUCT((MOD(COLUMN(_xlpm.myRng)-COLUMN($B55),2)=0)*_xlpm.myRng)
    )</f>
        <v>0</v>
      </c>
      <c r="AD55" s="69">
        <f t="shared" si="26"/>
        <v>0</v>
      </c>
      <c r="AE55" s="93">
        <f t="shared" ca="1" si="28"/>
        <v>0</v>
      </c>
      <c r="AG55" s="69" cm="1">
        <f t="array" aca="1" ref="AG55" ca="1">_xlfn.LET(_xlpm.myRng, OFFSET($B55,0,2*(myMonth-1),1,1),
      SUMPRODUCT((MOD(COLUMN(_xlpm.myRng)-COLUMN($B55),2)=0)*_xlpm.myRng)
    )</f>
        <v>0</v>
      </c>
      <c r="AH55" s="71" cm="1">
        <f t="array" aca="1" ref="AH55" ca="1">_xlfn.LET(_xlpm.myRng, OFFSET($C55,0,2*(myMonth-1),1,1),
      SUMPRODUCT((MOD(COLUMN(_xlpm.myRng)-COLUMN($C55),2)=0)*_xlpm.myRng)
    )</f>
        <v>0</v>
      </c>
      <c r="AI55" s="93">
        <f t="shared" ca="1" si="29"/>
        <v>0</v>
      </c>
      <c r="AQ55" s="49"/>
    </row>
    <row r="56" spans="1:43" ht="14.4" x14ac:dyDescent="0.55000000000000004">
      <c r="A56" s="12" t="s">
        <v>148</v>
      </c>
      <c r="B56" s="72">
        <f t="shared" ref="B56:AD56" si="40">SUM(B53:B55)</f>
        <v>0</v>
      </c>
      <c r="C56" s="74">
        <f t="shared" si="40"/>
        <v>0</v>
      </c>
      <c r="D56" s="72">
        <f t="shared" si="40"/>
        <v>0</v>
      </c>
      <c r="E56" s="74">
        <f t="shared" si="40"/>
        <v>0</v>
      </c>
      <c r="F56" s="72">
        <f t="shared" si="40"/>
        <v>0</v>
      </c>
      <c r="G56" s="74">
        <f t="shared" si="40"/>
        <v>0</v>
      </c>
      <c r="H56" s="72">
        <f t="shared" si="40"/>
        <v>0</v>
      </c>
      <c r="I56" s="74">
        <f t="shared" si="40"/>
        <v>0</v>
      </c>
      <c r="J56" s="72">
        <f t="shared" si="40"/>
        <v>0</v>
      </c>
      <c r="K56" s="73">
        <f t="shared" si="40"/>
        <v>0</v>
      </c>
      <c r="L56" s="72">
        <f t="shared" si="40"/>
        <v>0</v>
      </c>
      <c r="M56" s="74">
        <f t="shared" si="40"/>
        <v>0</v>
      </c>
      <c r="N56" s="72">
        <f t="shared" si="40"/>
        <v>0</v>
      </c>
      <c r="O56" s="74">
        <f t="shared" si="40"/>
        <v>0</v>
      </c>
      <c r="P56" s="72">
        <f t="shared" si="40"/>
        <v>0</v>
      </c>
      <c r="Q56" s="74">
        <f t="shared" si="40"/>
        <v>0</v>
      </c>
      <c r="R56" s="72">
        <f t="shared" si="40"/>
        <v>0</v>
      </c>
      <c r="S56" s="74">
        <f t="shared" si="40"/>
        <v>0</v>
      </c>
      <c r="T56" s="72">
        <f t="shared" si="40"/>
        <v>0</v>
      </c>
      <c r="U56" s="73">
        <f t="shared" si="40"/>
        <v>0</v>
      </c>
      <c r="V56" s="72">
        <f t="shared" si="40"/>
        <v>0</v>
      </c>
      <c r="W56" s="74">
        <f t="shared" si="40"/>
        <v>0</v>
      </c>
      <c r="X56" s="72">
        <f t="shared" si="40"/>
        <v>0</v>
      </c>
      <c r="Y56" s="74">
        <f t="shared" si="40"/>
        <v>0</v>
      </c>
      <c r="Z56" s="73">
        <f t="shared" si="0"/>
        <v>0</v>
      </c>
      <c r="AA56" s="74">
        <f t="shared" si="40"/>
        <v>0</v>
      </c>
      <c r="AC56" s="74">
        <f t="shared" ca="1" si="40"/>
        <v>0</v>
      </c>
      <c r="AD56" s="74">
        <f t="shared" si="40"/>
        <v>0</v>
      </c>
      <c r="AE56" s="72">
        <f t="shared" ca="1" si="28"/>
        <v>0</v>
      </c>
      <c r="AG56" s="74">
        <f t="shared" ref="AG56:AH56" ca="1" si="41">SUM(AG53:AG55)</f>
        <v>0</v>
      </c>
      <c r="AH56" s="74">
        <f t="shared" ca="1" si="41"/>
        <v>0</v>
      </c>
      <c r="AI56" s="72">
        <f t="shared" ca="1" si="29"/>
        <v>0</v>
      </c>
      <c r="AQ56" s="49"/>
    </row>
    <row r="57" spans="1:43" ht="14.4" x14ac:dyDescent="0.55000000000000004">
      <c r="A57" s="13" t="s">
        <v>149</v>
      </c>
      <c r="B57" s="67"/>
      <c r="C57" s="69"/>
      <c r="D57" s="67"/>
      <c r="E57" s="69"/>
      <c r="F57" s="67"/>
      <c r="G57" s="69"/>
      <c r="H57" s="67"/>
      <c r="I57" s="69"/>
      <c r="J57" s="67"/>
      <c r="K57" s="68"/>
      <c r="L57" s="67"/>
      <c r="M57" s="69"/>
      <c r="N57" s="67"/>
      <c r="O57" s="69"/>
      <c r="P57" s="67"/>
      <c r="Q57" s="69"/>
      <c r="R57" s="67"/>
      <c r="S57" s="69"/>
      <c r="T57" s="67"/>
      <c r="U57" s="68"/>
      <c r="V57" s="67"/>
      <c r="W57" s="69"/>
      <c r="X57" s="67"/>
      <c r="Y57" s="69"/>
      <c r="Z57" s="68">
        <f t="shared" si="0"/>
        <v>0</v>
      </c>
      <c r="AA57" s="69">
        <f t="shared" ref="AA57:AA64" si="42">SUM(C57,E57,G57,I57,K57,M57,O57,Q57,S57,U57,W57,Y57)</f>
        <v>0</v>
      </c>
      <c r="AC57" s="69" cm="1">
        <f t="array" aca="1" ref="AC57" ca="1">_xlfn.LET(_xlpm.myRng, OFFSET($B57,0,0,1,2*myMonth-1),
      SUMPRODUCT((MOD(COLUMN(_xlpm.myRng)-COLUMN($B57),2)=0)*_xlpm.myRng)
    )</f>
        <v>0</v>
      </c>
      <c r="AD57" s="69">
        <f t="shared" si="26"/>
        <v>0</v>
      </c>
      <c r="AE57" s="93">
        <f t="shared" ca="1" si="28"/>
        <v>0</v>
      </c>
      <c r="AG57" s="69" cm="1">
        <f t="array" aca="1" ref="AG57" ca="1">_xlfn.LET(_xlpm.myRng, OFFSET($B57,0,2*(myMonth-1),1,1),
      SUMPRODUCT((MOD(COLUMN(_xlpm.myRng)-COLUMN($B57),2)=0)*_xlpm.myRng)
    )</f>
        <v>0</v>
      </c>
      <c r="AH57" s="71" cm="1">
        <f t="array" aca="1" ref="AH57" ca="1">_xlfn.LET(_xlpm.myRng, OFFSET($C57,0,2*(myMonth-1),1,1),
      SUMPRODUCT((MOD(COLUMN(_xlpm.myRng)-COLUMN($C57),2)=0)*_xlpm.myRng)
    )</f>
        <v>0</v>
      </c>
      <c r="AI57" s="93">
        <f t="shared" ca="1" si="29"/>
        <v>0</v>
      </c>
      <c r="AQ57" s="49"/>
    </row>
    <row r="58" spans="1:43" ht="14.4" x14ac:dyDescent="0.55000000000000004">
      <c r="A58" s="13" t="s">
        <v>150</v>
      </c>
      <c r="B58" s="67"/>
      <c r="C58" s="69"/>
      <c r="D58" s="67"/>
      <c r="E58" s="69"/>
      <c r="F58" s="67"/>
      <c r="G58" s="69"/>
      <c r="H58" s="67"/>
      <c r="I58" s="69"/>
      <c r="J58" s="67"/>
      <c r="K58" s="68"/>
      <c r="L58" s="67">
        <v>2000</v>
      </c>
      <c r="M58" s="69"/>
      <c r="N58" s="67"/>
      <c r="O58" s="69"/>
      <c r="P58" s="67"/>
      <c r="Q58" s="69"/>
      <c r="R58" s="67"/>
      <c r="S58" s="69"/>
      <c r="T58" s="67"/>
      <c r="U58" s="68"/>
      <c r="V58" s="67"/>
      <c r="W58" s="69"/>
      <c r="X58" s="67"/>
      <c r="Y58" s="69"/>
      <c r="Z58" s="68">
        <f t="shared" si="0"/>
        <v>2000</v>
      </c>
      <c r="AA58" s="69">
        <f t="shared" si="42"/>
        <v>0</v>
      </c>
      <c r="AC58" s="69" cm="1">
        <f t="array" aca="1" ref="AC58" ca="1">_xlfn.LET(_xlpm.myRng, OFFSET($B58,0,0,1,2*myMonth-1),
      SUMPRODUCT((MOD(COLUMN(_xlpm.myRng)-COLUMN($B58),2)=0)*_xlpm.myRng)
    )</f>
        <v>0</v>
      </c>
      <c r="AD58" s="69">
        <f t="shared" si="26"/>
        <v>0</v>
      </c>
      <c r="AE58" s="93">
        <f t="shared" ca="1" si="28"/>
        <v>0</v>
      </c>
      <c r="AG58" s="69" cm="1">
        <f t="array" aca="1" ref="AG58" ca="1">_xlfn.LET(_xlpm.myRng, OFFSET($B58,0,2*(myMonth-1),1,1),
      SUMPRODUCT((MOD(COLUMN(_xlpm.myRng)-COLUMN($B58),2)=0)*_xlpm.myRng)
    )</f>
        <v>0</v>
      </c>
      <c r="AH58" s="71" cm="1">
        <f t="array" aca="1" ref="AH58" ca="1">_xlfn.LET(_xlpm.myRng, OFFSET($C58,0,2*(myMonth-1),1,1),
      SUMPRODUCT((MOD(COLUMN(_xlpm.myRng)-COLUMN($C58),2)=0)*_xlpm.myRng)
    )</f>
        <v>0</v>
      </c>
      <c r="AI58" s="93">
        <f t="shared" ca="1" si="29"/>
        <v>0</v>
      </c>
      <c r="AJ58" s="36" t="s">
        <v>151</v>
      </c>
      <c r="AQ58" s="49" t="s">
        <v>152</v>
      </c>
    </row>
    <row r="59" spans="1:43" ht="14.4" x14ac:dyDescent="0.55000000000000004">
      <c r="A59" s="13" t="s">
        <v>153</v>
      </c>
      <c r="B59" s="67"/>
      <c r="C59" s="69"/>
      <c r="D59" s="67"/>
      <c r="E59" s="69"/>
      <c r="F59" s="67"/>
      <c r="G59" s="69"/>
      <c r="H59" s="67"/>
      <c r="I59" s="69"/>
      <c r="J59" s="67"/>
      <c r="K59" s="68"/>
      <c r="L59" s="67"/>
      <c r="M59" s="69"/>
      <c r="N59" s="67"/>
      <c r="O59" s="69"/>
      <c r="P59" s="67"/>
      <c r="Q59" s="69"/>
      <c r="R59" s="67"/>
      <c r="S59" s="69"/>
      <c r="T59" s="67"/>
      <c r="U59" s="68"/>
      <c r="V59" s="67"/>
      <c r="W59" s="69"/>
      <c r="X59" s="67"/>
      <c r="Y59" s="69"/>
      <c r="Z59" s="68">
        <f t="shared" si="0"/>
        <v>0</v>
      </c>
      <c r="AA59" s="69">
        <f t="shared" si="42"/>
        <v>0</v>
      </c>
      <c r="AC59" s="69" cm="1">
        <f t="array" aca="1" ref="AC59" ca="1">_xlfn.LET(_xlpm.myRng, OFFSET($B59,0,0,1,2*myMonth-1),
      SUMPRODUCT((MOD(COLUMN(_xlpm.myRng)-COLUMN($B59),2)=0)*_xlpm.myRng)
    )</f>
        <v>0</v>
      </c>
      <c r="AD59" s="69">
        <f t="shared" si="26"/>
        <v>0</v>
      </c>
      <c r="AE59" s="93">
        <f t="shared" ca="1" si="28"/>
        <v>0</v>
      </c>
      <c r="AG59" s="69" cm="1">
        <f t="array" aca="1" ref="AG59" ca="1">_xlfn.LET(_xlpm.myRng, OFFSET($B59,0,2*(myMonth-1),1,1),
      SUMPRODUCT((MOD(COLUMN(_xlpm.myRng)-COLUMN($B59),2)=0)*_xlpm.myRng)
    )</f>
        <v>0</v>
      </c>
      <c r="AH59" s="71" cm="1">
        <f t="array" aca="1" ref="AH59" ca="1">_xlfn.LET(_xlpm.myRng, OFFSET($C59,0,2*(myMonth-1),1,1),
      SUMPRODUCT((MOD(COLUMN(_xlpm.myRng)-COLUMN($C59),2)=0)*_xlpm.myRng)
    )</f>
        <v>0</v>
      </c>
      <c r="AI59" s="93">
        <f t="shared" ca="1" si="29"/>
        <v>0</v>
      </c>
      <c r="AQ59" s="49"/>
    </row>
    <row r="60" spans="1:43" ht="14.4" x14ac:dyDescent="0.55000000000000004">
      <c r="A60" s="13" t="s">
        <v>154</v>
      </c>
      <c r="B60" s="67"/>
      <c r="C60" s="69"/>
      <c r="D60" s="67"/>
      <c r="E60" s="69"/>
      <c r="F60" s="67"/>
      <c r="G60" s="69"/>
      <c r="H60" s="67"/>
      <c r="I60" s="69"/>
      <c r="J60" s="67"/>
      <c r="K60" s="68"/>
      <c r="L60" s="67"/>
      <c r="M60" s="69"/>
      <c r="N60" s="67"/>
      <c r="O60" s="69"/>
      <c r="P60" s="67"/>
      <c r="Q60" s="69"/>
      <c r="R60" s="67"/>
      <c r="S60" s="69"/>
      <c r="T60" s="67"/>
      <c r="U60" s="68"/>
      <c r="V60" s="67"/>
      <c r="W60" s="69"/>
      <c r="X60" s="67"/>
      <c r="Y60" s="69"/>
      <c r="Z60" s="68">
        <f t="shared" si="0"/>
        <v>0</v>
      </c>
      <c r="AA60" s="69">
        <f t="shared" si="42"/>
        <v>0</v>
      </c>
      <c r="AC60" s="69" cm="1">
        <f t="array" aca="1" ref="AC60" ca="1">_xlfn.LET(_xlpm.myRng, OFFSET($B60,0,0,1,2*myMonth-1),
      SUMPRODUCT((MOD(COLUMN(_xlpm.myRng)-COLUMN($B60),2)=0)*_xlpm.myRng)
    )</f>
        <v>0</v>
      </c>
      <c r="AD60" s="69">
        <f t="shared" si="26"/>
        <v>0</v>
      </c>
      <c r="AE60" s="93">
        <f t="shared" ca="1" si="28"/>
        <v>0</v>
      </c>
      <c r="AG60" s="69" cm="1">
        <f t="array" aca="1" ref="AG60" ca="1">_xlfn.LET(_xlpm.myRng, OFFSET($B60,0,2*(myMonth-1),1,1),
      SUMPRODUCT((MOD(COLUMN(_xlpm.myRng)-COLUMN($B60),2)=0)*_xlpm.myRng)
    )</f>
        <v>0</v>
      </c>
      <c r="AH60" s="71" cm="1">
        <f t="array" aca="1" ref="AH60" ca="1">_xlfn.LET(_xlpm.myRng, OFFSET($C60,0,2*(myMonth-1),1,1),
      SUMPRODUCT((MOD(COLUMN(_xlpm.myRng)-COLUMN($C60),2)=0)*_xlpm.myRng)
    )</f>
        <v>0</v>
      </c>
      <c r="AI60" s="93">
        <f t="shared" ca="1" si="29"/>
        <v>0</v>
      </c>
      <c r="AQ60" s="49"/>
    </row>
    <row r="61" spans="1:43" ht="14.4" x14ac:dyDescent="0.55000000000000004">
      <c r="A61" s="13" t="s">
        <v>155</v>
      </c>
      <c r="B61" s="67"/>
      <c r="C61" s="69"/>
      <c r="D61" s="67"/>
      <c r="E61" s="69"/>
      <c r="F61" s="67"/>
      <c r="G61" s="69"/>
      <c r="H61" s="67"/>
      <c r="I61" s="69"/>
      <c r="J61" s="67"/>
      <c r="K61" s="68"/>
      <c r="L61" s="67"/>
      <c r="M61" s="69"/>
      <c r="N61" s="67"/>
      <c r="O61" s="69"/>
      <c r="P61" s="67"/>
      <c r="Q61" s="69"/>
      <c r="R61" s="67"/>
      <c r="S61" s="69"/>
      <c r="T61" s="67"/>
      <c r="U61" s="68"/>
      <c r="V61" s="67"/>
      <c r="W61" s="69"/>
      <c r="X61" s="67"/>
      <c r="Y61" s="69"/>
      <c r="Z61" s="68">
        <f t="shared" si="0"/>
        <v>0</v>
      </c>
      <c r="AA61" s="69">
        <f t="shared" si="42"/>
        <v>0</v>
      </c>
      <c r="AC61" s="69" cm="1">
        <f t="array" aca="1" ref="AC61" ca="1">_xlfn.LET(_xlpm.myRng, OFFSET($B61,0,0,1,2*myMonth-1),
      SUMPRODUCT((MOD(COLUMN(_xlpm.myRng)-COLUMN($B61),2)=0)*_xlpm.myRng)
    )</f>
        <v>0</v>
      </c>
      <c r="AD61" s="69">
        <f t="shared" si="26"/>
        <v>0</v>
      </c>
      <c r="AE61" s="93">
        <f t="shared" ca="1" si="28"/>
        <v>0</v>
      </c>
      <c r="AG61" s="69" cm="1">
        <f t="array" aca="1" ref="AG61" ca="1">_xlfn.LET(_xlpm.myRng, OFFSET($B61,0,2*(myMonth-1),1,1),
      SUMPRODUCT((MOD(COLUMN(_xlpm.myRng)-COLUMN($B61),2)=0)*_xlpm.myRng)
    )</f>
        <v>0</v>
      </c>
      <c r="AH61" s="71" cm="1">
        <f t="array" aca="1" ref="AH61" ca="1">_xlfn.LET(_xlpm.myRng, OFFSET($C61,0,2*(myMonth-1),1,1),
      SUMPRODUCT((MOD(COLUMN(_xlpm.myRng)-COLUMN($C61),2)=0)*_xlpm.myRng)
    )</f>
        <v>0</v>
      </c>
      <c r="AI61" s="93">
        <f t="shared" ca="1" si="29"/>
        <v>0</v>
      </c>
      <c r="AJ61" s="36" t="s">
        <v>156</v>
      </c>
      <c r="AQ61" s="49"/>
    </row>
    <row r="62" spans="1:43" ht="14.4" x14ac:dyDescent="0.55000000000000004">
      <c r="A62" s="13" t="s">
        <v>157</v>
      </c>
      <c r="B62" s="67"/>
      <c r="C62" s="69"/>
      <c r="D62" s="67"/>
      <c r="E62" s="69"/>
      <c r="F62" s="67"/>
      <c r="G62" s="69"/>
      <c r="H62" s="67"/>
      <c r="I62" s="69"/>
      <c r="J62" s="67"/>
      <c r="K62" s="68"/>
      <c r="L62" s="67"/>
      <c r="M62" s="69"/>
      <c r="N62" s="67"/>
      <c r="O62" s="69"/>
      <c r="P62" s="67"/>
      <c r="Q62" s="69"/>
      <c r="R62" s="67"/>
      <c r="S62" s="69"/>
      <c r="T62" s="67"/>
      <c r="U62" s="68"/>
      <c r="V62" s="67">
        <v>250</v>
      </c>
      <c r="W62" s="69"/>
      <c r="X62" s="67">
        <v>250</v>
      </c>
      <c r="Y62" s="69"/>
      <c r="Z62" s="68">
        <f t="shared" si="0"/>
        <v>500</v>
      </c>
      <c r="AA62" s="69">
        <f t="shared" si="42"/>
        <v>0</v>
      </c>
      <c r="AC62" s="69" cm="1">
        <f t="array" aca="1" ref="AC62" ca="1">_xlfn.LET(_xlpm.myRng, OFFSET($B62,0,0,1,2*myMonth-1),
      SUMPRODUCT((MOD(COLUMN(_xlpm.myRng)-COLUMN($B62),2)=0)*_xlpm.myRng)
    )</f>
        <v>0</v>
      </c>
      <c r="AD62" s="69">
        <f t="shared" si="26"/>
        <v>0</v>
      </c>
      <c r="AE62" s="93">
        <f t="shared" ca="1" si="28"/>
        <v>0</v>
      </c>
      <c r="AG62" s="69" cm="1">
        <f t="array" aca="1" ref="AG62" ca="1">_xlfn.LET(_xlpm.myRng, OFFSET($B62,0,2*(myMonth-1),1,1),
      SUMPRODUCT((MOD(COLUMN(_xlpm.myRng)-COLUMN($B62),2)=0)*_xlpm.myRng)
    )</f>
        <v>0</v>
      </c>
      <c r="AH62" s="71" cm="1">
        <f t="array" aca="1" ref="AH62" ca="1">_xlfn.LET(_xlpm.myRng, OFFSET($C62,0,2*(myMonth-1),1,1),
      SUMPRODUCT((MOD(COLUMN(_xlpm.myRng)-COLUMN($C62),2)=0)*_xlpm.myRng)
    )</f>
        <v>0</v>
      </c>
      <c r="AI62" s="93">
        <f t="shared" ca="1" si="29"/>
        <v>0</v>
      </c>
      <c r="AJ62" s="36" t="s">
        <v>158</v>
      </c>
      <c r="AQ62" s="49"/>
    </row>
    <row r="63" spans="1:43" ht="14.4" x14ac:dyDescent="0.55000000000000004">
      <c r="A63" s="13" t="s">
        <v>159</v>
      </c>
      <c r="B63" s="67"/>
      <c r="C63" s="69"/>
      <c r="D63" s="67"/>
      <c r="E63" s="69"/>
      <c r="F63" s="67"/>
      <c r="G63" s="69"/>
      <c r="H63" s="67"/>
      <c r="I63" s="69"/>
      <c r="J63" s="67"/>
      <c r="K63" s="68"/>
      <c r="L63" s="67"/>
      <c r="M63" s="69"/>
      <c r="N63" s="67"/>
      <c r="O63" s="69"/>
      <c r="P63" s="67"/>
      <c r="Q63" s="69"/>
      <c r="R63" s="67"/>
      <c r="S63" s="69"/>
      <c r="T63" s="67"/>
      <c r="U63" s="68"/>
      <c r="V63" s="67"/>
      <c r="W63" s="69"/>
      <c r="X63" s="67"/>
      <c r="Y63" s="69"/>
      <c r="Z63" s="68">
        <f t="shared" si="0"/>
        <v>0</v>
      </c>
      <c r="AA63" s="71">
        <f t="shared" si="42"/>
        <v>0</v>
      </c>
      <c r="AC63" s="69" cm="1">
        <f t="array" aca="1" ref="AC63" ca="1">_xlfn.LET(_xlpm.myRng, OFFSET($B63,0,0,1,2*myMonth-1),
      SUMPRODUCT((MOD(COLUMN(_xlpm.myRng)-COLUMN($B63),2)=0)*_xlpm.myRng)
    )</f>
        <v>0</v>
      </c>
      <c r="AD63" s="69">
        <f t="shared" si="26"/>
        <v>0</v>
      </c>
      <c r="AE63" s="93">
        <f t="shared" ca="1" si="28"/>
        <v>0</v>
      </c>
      <c r="AG63" s="69" cm="1">
        <f t="array" aca="1" ref="AG63" ca="1">_xlfn.LET(_xlpm.myRng, OFFSET($B63,0,2*(myMonth-1),1,1),
      SUMPRODUCT((MOD(COLUMN(_xlpm.myRng)-COLUMN($B63),2)=0)*_xlpm.myRng)
    )</f>
        <v>0</v>
      </c>
      <c r="AH63" s="71" cm="1">
        <f t="array" aca="1" ref="AH63" ca="1">_xlfn.LET(_xlpm.myRng, OFFSET($C63,0,2*(myMonth-1),1,1),
      SUMPRODUCT((MOD(COLUMN(_xlpm.myRng)-COLUMN($C63),2)=0)*_xlpm.myRng)
    )</f>
        <v>0</v>
      </c>
      <c r="AI63" s="93">
        <f t="shared" ca="1" si="29"/>
        <v>0</v>
      </c>
      <c r="AQ63" s="49"/>
    </row>
    <row r="64" spans="1:43" ht="14.4" x14ac:dyDescent="0.55000000000000004">
      <c r="A64" s="13" t="s">
        <v>160</v>
      </c>
      <c r="B64" s="67">
        <v>995</v>
      </c>
      <c r="C64" s="69">
        <v>995</v>
      </c>
      <c r="D64" s="67"/>
      <c r="E64" s="69">
        <v>219</v>
      </c>
      <c r="F64" s="67"/>
      <c r="G64" s="69">
        <v>0</v>
      </c>
      <c r="H64" s="67">
        <v>220</v>
      </c>
      <c r="I64" s="69"/>
      <c r="J64" s="67"/>
      <c r="K64" s="68"/>
      <c r="L64" s="67"/>
      <c r="M64" s="69"/>
      <c r="N64" s="67"/>
      <c r="O64" s="69"/>
      <c r="P64" s="67"/>
      <c r="Q64" s="69"/>
      <c r="R64" s="67"/>
      <c r="S64" s="69"/>
      <c r="T64" s="67">
        <v>440</v>
      </c>
      <c r="U64" s="68"/>
      <c r="V64" s="67"/>
      <c r="W64" s="69"/>
      <c r="X64" s="67"/>
      <c r="Y64" s="69"/>
      <c r="Z64" s="68">
        <f t="shared" si="0"/>
        <v>1655</v>
      </c>
      <c r="AA64" s="71">
        <f t="shared" si="42"/>
        <v>1214</v>
      </c>
      <c r="AC64" s="69" cm="1">
        <f t="array" aca="1" ref="AC64" ca="1">_xlfn.LET(_xlpm.myRng, OFFSET($B64,0,0,1,2*myMonth-1),
      SUMPRODUCT((MOD(COLUMN(_xlpm.myRng)-COLUMN($B64),2)=0)*_xlpm.myRng)
    )</f>
        <v>1215</v>
      </c>
      <c r="AD64" s="69">
        <f t="shared" si="26"/>
        <v>1214</v>
      </c>
      <c r="AE64" s="93">
        <f t="shared" ca="1" si="28"/>
        <v>1</v>
      </c>
      <c r="AG64" s="69" cm="1">
        <f t="array" aca="1" ref="AG64" ca="1">_xlfn.LET(_xlpm.myRng, OFFSET($B64,0,2*(myMonth-1),1,1),
      SUMPRODUCT((MOD(COLUMN(_xlpm.myRng)-COLUMN($B64),2)=0)*_xlpm.myRng)
    )</f>
        <v>0</v>
      </c>
      <c r="AH64" s="71" cm="1">
        <f t="array" aca="1" ref="AH64" ca="1">_xlfn.LET(_xlpm.myRng, OFFSET($C64,0,2*(myMonth-1),1,1),
      SUMPRODUCT((MOD(COLUMN(_xlpm.myRng)-COLUMN($C64),2)=0)*_xlpm.myRng)
    )</f>
        <v>0</v>
      </c>
      <c r="AI64" s="93">
        <f t="shared" ca="1" si="29"/>
        <v>0</v>
      </c>
      <c r="AJ64" s="36" t="s">
        <v>161</v>
      </c>
      <c r="AQ64" s="49" t="s">
        <v>162</v>
      </c>
    </row>
    <row r="65" spans="1:43" ht="14.4" x14ac:dyDescent="0.55000000000000004">
      <c r="A65" s="12" t="s">
        <v>163</v>
      </c>
      <c r="B65" s="72">
        <f>SUM(B57:B64)</f>
        <v>995</v>
      </c>
      <c r="C65" s="74">
        <f t="shared" ref="C65:AD65" si="43">SUM(C57:C64)</f>
        <v>995</v>
      </c>
      <c r="D65" s="72">
        <f t="shared" si="43"/>
        <v>0</v>
      </c>
      <c r="E65" s="74">
        <f t="shared" si="43"/>
        <v>219</v>
      </c>
      <c r="F65" s="72">
        <f t="shared" si="43"/>
        <v>0</v>
      </c>
      <c r="G65" s="74">
        <f t="shared" si="43"/>
        <v>0</v>
      </c>
      <c r="H65" s="72">
        <f t="shared" si="43"/>
        <v>220</v>
      </c>
      <c r="I65" s="74">
        <f t="shared" si="43"/>
        <v>0</v>
      </c>
      <c r="J65" s="72">
        <f t="shared" si="43"/>
        <v>0</v>
      </c>
      <c r="K65" s="73">
        <f t="shared" si="43"/>
        <v>0</v>
      </c>
      <c r="L65" s="72">
        <f t="shared" si="43"/>
        <v>2000</v>
      </c>
      <c r="M65" s="74">
        <f t="shared" si="43"/>
        <v>0</v>
      </c>
      <c r="N65" s="72">
        <f t="shared" si="43"/>
        <v>0</v>
      </c>
      <c r="O65" s="74">
        <f t="shared" si="43"/>
        <v>0</v>
      </c>
      <c r="P65" s="72">
        <f t="shared" si="43"/>
        <v>0</v>
      </c>
      <c r="Q65" s="74">
        <f t="shared" si="43"/>
        <v>0</v>
      </c>
      <c r="R65" s="72">
        <f t="shared" si="43"/>
        <v>0</v>
      </c>
      <c r="S65" s="74">
        <f t="shared" si="43"/>
        <v>0</v>
      </c>
      <c r="T65" s="72">
        <f t="shared" si="43"/>
        <v>440</v>
      </c>
      <c r="U65" s="73">
        <f t="shared" si="43"/>
        <v>0</v>
      </c>
      <c r="V65" s="72">
        <f t="shared" si="43"/>
        <v>250</v>
      </c>
      <c r="W65" s="74">
        <f t="shared" si="43"/>
        <v>0</v>
      </c>
      <c r="X65" s="72">
        <f t="shared" si="43"/>
        <v>250</v>
      </c>
      <c r="Y65" s="74">
        <f t="shared" si="43"/>
        <v>0</v>
      </c>
      <c r="Z65" s="73">
        <f t="shared" si="0"/>
        <v>4155</v>
      </c>
      <c r="AA65" s="74">
        <f t="shared" si="43"/>
        <v>1214</v>
      </c>
      <c r="AC65" s="74">
        <f t="shared" ca="1" si="43"/>
        <v>1215</v>
      </c>
      <c r="AD65" s="74">
        <f t="shared" si="43"/>
        <v>1214</v>
      </c>
      <c r="AE65" s="72">
        <f t="shared" ca="1" si="28"/>
        <v>1</v>
      </c>
      <c r="AG65" s="74">
        <f t="shared" ref="AG65:AH65" ca="1" si="44">SUM(AG57:AG64)</f>
        <v>0</v>
      </c>
      <c r="AH65" s="74">
        <f t="shared" ca="1" si="44"/>
        <v>0</v>
      </c>
      <c r="AI65" s="72">
        <f t="shared" ca="1" si="29"/>
        <v>0</v>
      </c>
      <c r="AQ65" s="49"/>
    </row>
    <row r="66" spans="1:43" ht="14.4" x14ac:dyDescent="0.55000000000000004">
      <c r="A66" s="13" t="s">
        <v>164</v>
      </c>
      <c r="B66" s="67"/>
      <c r="C66" s="69"/>
      <c r="D66" s="67"/>
      <c r="E66" s="69">
        <v>753.96</v>
      </c>
      <c r="F66" s="67"/>
      <c r="G66" s="69"/>
      <c r="H66" s="67"/>
      <c r="I66" s="69"/>
      <c r="J66" s="67"/>
      <c r="K66" s="68"/>
      <c r="L66" s="67"/>
      <c r="M66" s="69"/>
      <c r="N66" s="67"/>
      <c r="O66" s="69"/>
      <c r="P66" s="67"/>
      <c r="Q66" s="69"/>
      <c r="R66" s="67"/>
      <c r="S66" s="69"/>
      <c r="T66" s="67"/>
      <c r="U66" s="68"/>
      <c r="V66" s="67"/>
      <c r="W66" s="69"/>
      <c r="X66" s="67"/>
      <c r="Y66" s="69"/>
      <c r="Z66" s="68">
        <f t="shared" si="0"/>
        <v>0</v>
      </c>
      <c r="AA66" s="69">
        <f t="shared" ref="AA66:AA72" si="45">SUM(C66,E66,G66,I66,K66,M66,O66,Q66,S66,U66,W66,Y66)</f>
        <v>753.96</v>
      </c>
      <c r="AC66" s="69" cm="1">
        <f t="array" aca="1" ref="AC66" ca="1">_xlfn.LET(_xlpm.myRng, OFFSET($B66,0,0,1,2*myMonth-1),
      SUMPRODUCT((MOD(COLUMN(_xlpm.myRng)-COLUMN($B66),2)=0)*_xlpm.myRng)
    )</f>
        <v>0</v>
      </c>
      <c r="AD66" s="69">
        <f t="shared" si="26"/>
        <v>753.96</v>
      </c>
      <c r="AE66" s="93">
        <f t="shared" ca="1" si="28"/>
        <v>-753.96</v>
      </c>
      <c r="AG66" s="69" cm="1">
        <f t="array" aca="1" ref="AG66" ca="1">_xlfn.LET(_xlpm.myRng, OFFSET($B66,0,2*(myMonth-1),1,1),
      SUMPRODUCT((MOD(COLUMN(_xlpm.myRng)-COLUMN($B66),2)=0)*_xlpm.myRng)
    )</f>
        <v>0</v>
      </c>
      <c r="AH66" s="71" cm="1">
        <f t="array" aca="1" ref="AH66" ca="1">_xlfn.LET(_xlpm.myRng, OFFSET($C66,0,2*(myMonth-1),1,1),
      SUMPRODUCT((MOD(COLUMN(_xlpm.myRng)-COLUMN($C66),2)=0)*_xlpm.myRng)
    )</f>
        <v>0</v>
      </c>
      <c r="AI66" s="93">
        <f t="shared" ca="1" si="29"/>
        <v>0</v>
      </c>
      <c r="AJ66" s="36" t="s">
        <v>165</v>
      </c>
      <c r="AQ66" s="49"/>
    </row>
    <row r="67" spans="1:43" ht="14.4" x14ac:dyDescent="0.55000000000000004">
      <c r="A67" s="13" t="s">
        <v>166</v>
      </c>
      <c r="B67" s="67"/>
      <c r="C67" s="69"/>
      <c r="D67" s="67"/>
      <c r="E67" s="69"/>
      <c r="F67" s="67"/>
      <c r="G67" s="69"/>
      <c r="H67" s="67"/>
      <c r="I67" s="69"/>
      <c r="J67" s="67"/>
      <c r="K67" s="68"/>
      <c r="L67" s="67"/>
      <c r="M67" s="69"/>
      <c r="N67" s="67"/>
      <c r="O67" s="69"/>
      <c r="P67" s="67"/>
      <c r="Q67" s="69"/>
      <c r="R67" s="67"/>
      <c r="S67" s="69"/>
      <c r="T67" s="67"/>
      <c r="U67" s="68"/>
      <c r="V67" s="67"/>
      <c r="W67" s="69"/>
      <c r="X67" s="67"/>
      <c r="Y67" s="69"/>
      <c r="Z67" s="68">
        <f t="shared" si="0"/>
        <v>0</v>
      </c>
      <c r="AA67" s="69">
        <f t="shared" si="45"/>
        <v>0</v>
      </c>
      <c r="AC67" s="69" cm="1">
        <f t="array" aca="1" ref="AC67" ca="1">_xlfn.LET(_xlpm.myRng, OFFSET($B67,0,0,1,2*myMonth-1),
      SUMPRODUCT((MOD(COLUMN(_xlpm.myRng)-COLUMN($B67),2)=0)*_xlpm.myRng)
    )</f>
        <v>0</v>
      </c>
      <c r="AD67" s="69">
        <f t="shared" si="26"/>
        <v>0</v>
      </c>
      <c r="AE67" s="93">
        <f t="shared" ca="1" si="28"/>
        <v>0</v>
      </c>
      <c r="AG67" s="69" cm="1">
        <f t="array" aca="1" ref="AG67" ca="1">_xlfn.LET(_xlpm.myRng, OFFSET($B67,0,2*(myMonth-1),1,1),
      SUMPRODUCT((MOD(COLUMN(_xlpm.myRng)-COLUMN($B67),2)=0)*_xlpm.myRng)
    )</f>
        <v>0</v>
      </c>
      <c r="AH67" s="71" cm="1">
        <f t="array" aca="1" ref="AH67" ca="1">_xlfn.LET(_xlpm.myRng, OFFSET($C67,0,2*(myMonth-1),1,1),
      SUMPRODUCT((MOD(COLUMN(_xlpm.myRng)-COLUMN($C67),2)=0)*_xlpm.myRng)
    )</f>
        <v>0</v>
      </c>
      <c r="AI67" s="93">
        <f t="shared" ca="1" si="29"/>
        <v>0</v>
      </c>
      <c r="AJ67" s="34"/>
      <c r="AQ67" s="49" t="s">
        <v>167</v>
      </c>
    </row>
    <row r="68" spans="1:43" ht="14.4" x14ac:dyDescent="0.55000000000000004">
      <c r="A68" s="13" t="s">
        <v>168</v>
      </c>
      <c r="B68" s="67">
        <v>15.99</v>
      </c>
      <c r="C68" s="69">
        <v>15.99</v>
      </c>
      <c r="D68" s="67">
        <v>15.99</v>
      </c>
      <c r="E68" s="69">
        <v>15.99</v>
      </c>
      <c r="F68" s="67">
        <v>15.99</v>
      </c>
      <c r="G68" s="69">
        <v>15.99</v>
      </c>
      <c r="H68" s="67">
        <v>15.99</v>
      </c>
      <c r="I68" s="69">
        <v>15.99</v>
      </c>
      <c r="J68" s="67">
        <v>15.99</v>
      </c>
      <c r="K68" s="68">
        <v>15.99</v>
      </c>
      <c r="L68" s="67">
        <v>15.99</v>
      </c>
      <c r="M68" s="69"/>
      <c r="N68" s="67">
        <v>15.99</v>
      </c>
      <c r="O68" s="69"/>
      <c r="P68" s="67">
        <v>15.99</v>
      </c>
      <c r="Q68" s="69"/>
      <c r="R68" s="67">
        <v>15.99</v>
      </c>
      <c r="S68" s="69"/>
      <c r="T68" s="67">
        <v>15.99</v>
      </c>
      <c r="U68" s="68"/>
      <c r="V68" s="67">
        <v>15.99</v>
      </c>
      <c r="W68" s="69"/>
      <c r="X68" s="67">
        <v>15.99</v>
      </c>
      <c r="Y68" s="69"/>
      <c r="Z68" s="68">
        <f t="shared" si="0"/>
        <v>191.88000000000002</v>
      </c>
      <c r="AA68" s="69">
        <f t="shared" si="45"/>
        <v>79.95</v>
      </c>
      <c r="AC68" s="69" cm="1">
        <f t="array" aca="1" ref="AC68" ca="1">_xlfn.LET(_xlpm.myRng, OFFSET($B68,0,0,1,2*myMonth-1),
      SUMPRODUCT((MOD(COLUMN(_xlpm.myRng)-COLUMN($B68),2)=0)*_xlpm.myRng)
    )</f>
        <v>79.95</v>
      </c>
      <c r="AD68" s="69">
        <f t="shared" si="26"/>
        <v>79.95</v>
      </c>
      <c r="AE68" s="93">
        <f t="shared" ca="1" si="28"/>
        <v>0</v>
      </c>
      <c r="AG68" s="69" cm="1">
        <f t="array" aca="1" ref="AG68" ca="1">_xlfn.LET(_xlpm.myRng, OFFSET($B68,0,2*(myMonth-1),1,1),
      SUMPRODUCT((MOD(COLUMN(_xlpm.myRng)-COLUMN($B68),2)=0)*_xlpm.myRng)
    )</f>
        <v>15.99</v>
      </c>
      <c r="AH68" s="71" cm="1">
        <f t="array" aca="1" ref="AH68" ca="1">_xlfn.LET(_xlpm.myRng, OFFSET($C68,0,2*(myMonth-1),1,1),
      SUMPRODUCT((MOD(COLUMN(_xlpm.myRng)-COLUMN($C68),2)=0)*_xlpm.myRng)
    )</f>
        <v>15.99</v>
      </c>
      <c r="AI68" s="93">
        <f t="shared" ca="1" si="29"/>
        <v>0</v>
      </c>
      <c r="AJ68" s="36" t="s">
        <v>169</v>
      </c>
      <c r="AQ68" s="49" t="s">
        <v>170</v>
      </c>
    </row>
    <row r="69" spans="1:43" ht="14.4" x14ac:dyDescent="0.55000000000000004">
      <c r="A69" s="13" t="s">
        <v>171</v>
      </c>
      <c r="B69" s="67"/>
      <c r="C69" s="69"/>
      <c r="D69" s="67"/>
      <c r="E69" s="69"/>
      <c r="F69" s="67"/>
      <c r="G69" s="69"/>
      <c r="H69" s="67"/>
      <c r="I69" s="69"/>
      <c r="J69" s="67"/>
      <c r="K69" s="68"/>
      <c r="L69" s="67"/>
      <c r="M69" s="69"/>
      <c r="N69" s="67"/>
      <c r="O69" s="69"/>
      <c r="P69" s="67"/>
      <c r="Q69" s="69"/>
      <c r="R69" s="67">
        <v>2185</v>
      </c>
      <c r="S69" s="69"/>
      <c r="T69" s="67"/>
      <c r="U69" s="68"/>
      <c r="V69" s="67"/>
      <c r="W69" s="69"/>
      <c r="X69" s="67"/>
      <c r="Y69" s="69"/>
      <c r="Z69" s="68">
        <f t="shared" si="0"/>
        <v>2185</v>
      </c>
      <c r="AA69" s="69">
        <f t="shared" si="45"/>
        <v>0</v>
      </c>
      <c r="AC69" s="69" cm="1">
        <f t="array" aca="1" ref="AC69" ca="1">_xlfn.LET(_xlpm.myRng, OFFSET($B69,0,0,1,2*myMonth-1),
      SUMPRODUCT((MOD(COLUMN(_xlpm.myRng)-COLUMN($B69),2)=0)*_xlpm.myRng)
    )</f>
        <v>0</v>
      </c>
      <c r="AD69" s="69">
        <f t="shared" si="26"/>
        <v>0</v>
      </c>
      <c r="AE69" s="93">
        <f t="shared" ca="1" si="28"/>
        <v>0</v>
      </c>
      <c r="AG69" s="69" cm="1">
        <f t="array" aca="1" ref="AG69" ca="1">_xlfn.LET(_xlpm.myRng, OFFSET($B69,0,2*(myMonth-1),1,1),
      SUMPRODUCT((MOD(COLUMN(_xlpm.myRng)-COLUMN($B69),2)=0)*_xlpm.myRng)
    )</f>
        <v>0</v>
      </c>
      <c r="AH69" s="71" cm="1">
        <f t="array" aca="1" ref="AH69" ca="1">_xlfn.LET(_xlpm.myRng, OFFSET($C69,0,2*(myMonth-1),1,1),
      SUMPRODUCT((MOD(COLUMN(_xlpm.myRng)-COLUMN($C69),2)=0)*_xlpm.myRng)
    )</f>
        <v>0</v>
      </c>
      <c r="AI69" s="93">
        <f t="shared" ca="1" si="29"/>
        <v>0</v>
      </c>
      <c r="AJ69" s="36" t="s">
        <v>172</v>
      </c>
      <c r="AQ69" s="49" t="s">
        <v>173</v>
      </c>
    </row>
    <row r="70" spans="1:43" ht="14.4" x14ac:dyDescent="0.55000000000000004">
      <c r="A70" s="13" t="s">
        <v>174</v>
      </c>
      <c r="B70" s="67"/>
      <c r="C70" s="69"/>
      <c r="D70" s="67"/>
      <c r="E70" s="69"/>
      <c r="F70" s="67"/>
      <c r="G70" s="69"/>
      <c r="H70" s="67"/>
      <c r="I70" s="69"/>
      <c r="J70" s="67"/>
      <c r="K70" s="68"/>
      <c r="L70" s="67"/>
      <c r="M70" s="69"/>
      <c r="N70" s="67"/>
      <c r="O70" s="69"/>
      <c r="P70" s="67"/>
      <c r="Q70" s="69"/>
      <c r="R70" s="67"/>
      <c r="S70" s="69"/>
      <c r="T70" s="67"/>
      <c r="U70" s="68"/>
      <c r="V70" s="67"/>
      <c r="W70" s="69"/>
      <c r="X70" s="67"/>
      <c r="Y70" s="69"/>
      <c r="Z70" s="68">
        <f t="shared" si="0"/>
        <v>0</v>
      </c>
      <c r="AA70" s="69">
        <f t="shared" si="45"/>
        <v>0</v>
      </c>
      <c r="AC70" s="69" cm="1">
        <f t="array" aca="1" ref="AC70" ca="1">_xlfn.LET(_xlpm.myRng, OFFSET($B70,0,0,1,2*myMonth-1),
      SUMPRODUCT((MOD(COLUMN(_xlpm.myRng)-COLUMN($B70),2)=0)*_xlpm.myRng)
    )</f>
        <v>0</v>
      </c>
      <c r="AD70" s="69">
        <f t="shared" si="26"/>
        <v>0</v>
      </c>
      <c r="AE70" s="93">
        <f t="shared" ca="1" si="28"/>
        <v>0</v>
      </c>
      <c r="AG70" s="69" cm="1">
        <f t="array" aca="1" ref="AG70" ca="1">_xlfn.LET(_xlpm.myRng, OFFSET($B70,0,2*(myMonth-1),1,1),
      SUMPRODUCT((MOD(COLUMN(_xlpm.myRng)-COLUMN($B70),2)=0)*_xlpm.myRng)
    )</f>
        <v>0</v>
      </c>
      <c r="AH70" s="71" cm="1">
        <f t="array" aca="1" ref="AH70" ca="1">_xlfn.LET(_xlpm.myRng, OFFSET($C70,0,2*(myMonth-1),1,1),
      SUMPRODUCT((MOD(COLUMN(_xlpm.myRng)-COLUMN($C70),2)=0)*_xlpm.myRng)
    )</f>
        <v>0</v>
      </c>
      <c r="AI70" s="93">
        <f t="shared" ca="1" si="29"/>
        <v>0</v>
      </c>
      <c r="AQ70" s="49"/>
    </row>
    <row r="71" spans="1:43" ht="14.4" x14ac:dyDescent="0.55000000000000004">
      <c r="A71" s="13" t="s">
        <v>175</v>
      </c>
      <c r="B71" s="67"/>
      <c r="C71" s="71"/>
      <c r="D71" s="67"/>
      <c r="E71" s="71"/>
      <c r="F71" s="67"/>
      <c r="G71" s="71"/>
      <c r="H71" s="67"/>
      <c r="I71" s="71"/>
      <c r="J71" s="67"/>
      <c r="K71" s="68"/>
      <c r="L71" s="67"/>
      <c r="M71" s="71"/>
      <c r="N71" s="67"/>
      <c r="O71" s="71"/>
      <c r="P71" s="67"/>
      <c r="Q71" s="71"/>
      <c r="R71" s="67"/>
      <c r="S71" s="71"/>
      <c r="T71" s="67"/>
      <c r="U71" s="68"/>
      <c r="V71" s="67"/>
      <c r="W71" s="71"/>
      <c r="X71" s="67">
        <v>1460</v>
      </c>
      <c r="Y71" s="71"/>
      <c r="Z71" s="68">
        <f t="shared" si="0"/>
        <v>1460</v>
      </c>
      <c r="AA71" s="69">
        <f t="shared" si="45"/>
        <v>0</v>
      </c>
      <c r="AC71" s="69" cm="1">
        <f t="array" aca="1" ref="AC71" ca="1">_xlfn.LET(_xlpm.myRng, OFFSET($B71,0,0,1,2*myMonth-1),
      SUMPRODUCT((MOD(COLUMN(_xlpm.myRng)-COLUMN($B71),2)=0)*_xlpm.myRng)
    )</f>
        <v>0</v>
      </c>
      <c r="AD71" s="69">
        <f t="shared" si="26"/>
        <v>0</v>
      </c>
      <c r="AE71" s="93">
        <f t="shared" ca="1" si="28"/>
        <v>0</v>
      </c>
      <c r="AG71" s="69" cm="1">
        <f t="array" aca="1" ref="AG71" ca="1">_xlfn.LET(_xlpm.myRng, OFFSET($B71,0,2*(myMonth-1),1,1),
      SUMPRODUCT((MOD(COLUMN(_xlpm.myRng)-COLUMN($B71),2)=0)*_xlpm.myRng)
    )</f>
        <v>0</v>
      </c>
      <c r="AH71" s="71" cm="1">
        <f t="array" aca="1" ref="AH71" ca="1">_xlfn.LET(_xlpm.myRng, OFFSET($C71,0,2*(myMonth-1),1,1),
      SUMPRODUCT((MOD(COLUMN(_xlpm.myRng)-COLUMN($C71),2)=0)*_xlpm.myRng)
    )</f>
        <v>0</v>
      </c>
      <c r="AI71" s="93">
        <f t="shared" ca="1" si="29"/>
        <v>0</v>
      </c>
      <c r="AJ71" s="36" t="s">
        <v>176</v>
      </c>
      <c r="AQ71" s="49" t="s">
        <v>177</v>
      </c>
    </row>
    <row r="72" spans="1:43" ht="14.4" x14ac:dyDescent="0.55000000000000004">
      <c r="A72" s="13" t="s">
        <v>178</v>
      </c>
      <c r="B72" s="67">
        <v>45</v>
      </c>
      <c r="C72" s="69">
        <v>45</v>
      </c>
      <c r="D72" s="67">
        <v>45</v>
      </c>
      <c r="E72" s="69">
        <v>45</v>
      </c>
      <c r="F72" s="67">
        <v>45</v>
      </c>
      <c r="G72" s="69">
        <v>45</v>
      </c>
      <c r="H72" s="67">
        <v>45</v>
      </c>
      <c r="I72" s="69">
        <v>45</v>
      </c>
      <c r="J72" s="67">
        <v>95</v>
      </c>
      <c r="K72" s="68">
        <v>99</v>
      </c>
      <c r="L72" s="67">
        <v>95</v>
      </c>
      <c r="M72" s="69"/>
      <c r="N72" s="67">
        <v>95</v>
      </c>
      <c r="O72" s="69"/>
      <c r="P72" s="67">
        <v>95</v>
      </c>
      <c r="Q72" s="69"/>
      <c r="R72" s="67">
        <v>95</v>
      </c>
      <c r="S72" s="69"/>
      <c r="T72" s="67">
        <v>95</v>
      </c>
      <c r="U72" s="68"/>
      <c r="V72" s="67">
        <v>95</v>
      </c>
      <c r="W72" s="69"/>
      <c r="X72" s="67">
        <v>95</v>
      </c>
      <c r="Y72" s="69"/>
      <c r="Z72" s="68">
        <f t="shared" si="0"/>
        <v>940</v>
      </c>
      <c r="AA72" s="69">
        <f t="shared" si="45"/>
        <v>279</v>
      </c>
      <c r="AC72" s="69" cm="1">
        <f t="array" aca="1" ref="AC72" ca="1">_xlfn.LET(_xlpm.myRng, OFFSET($B72,0,0,1,2*myMonth-1),
      SUMPRODUCT((MOD(COLUMN(_xlpm.myRng)-COLUMN($B72),2)=0)*_xlpm.myRng)
    )</f>
        <v>275</v>
      </c>
      <c r="AD72" s="69">
        <f t="shared" si="26"/>
        <v>279</v>
      </c>
      <c r="AE72" s="93">
        <f t="shared" ca="1" si="28"/>
        <v>-4</v>
      </c>
      <c r="AG72" s="69" cm="1">
        <f t="array" aca="1" ref="AG72" ca="1">_xlfn.LET(_xlpm.myRng, OFFSET($B72,0,2*(myMonth-1),1,1),
      SUMPRODUCT((MOD(COLUMN(_xlpm.myRng)-COLUMN($B72),2)=0)*_xlpm.myRng)
    )</f>
        <v>95</v>
      </c>
      <c r="AH72" s="71" cm="1">
        <f t="array" aca="1" ref="AH72" ca="1">_xlfn.LET(_xlpm.myRng, OFFSET($C72,0,2*(myMonth-1),1,1),
      SUMPRODUCT((MOD(COLUMN(_xlpm.myRng)-COLUMN($C72),2)=0)*_xlpm.myRng)
    )</f>
        <v>99</v>
      </c>
      <c r="AI72" s="93">
        <f t="shared" ca="1" si="29"/>
        <v>-4</v>
      </c>
      <c r="AJ72" s="36" t="s">
        <v>179</v>
      </c>
      <c r="AQ72" s="49" t="s">
        <v>180</v>
      </c>
    </row>
    <row r="73" spans="1:43" ht="14.4" x14ac:dyDescent="0.55000000000000004">
      <c r="A73" s="12" t="s">
        <v>181</v>
      </c>
      <c r="B73" s="72">
        <f t="shared" ref="B73:AD73" si="46">SUM(B66:B72)</f>
        <v>60.99</v>
      </c>
      <c r="C73" s="74">
        <f t="shared" si="46"/>
        <v>60.99</v>
      </c>
      <c r="D73" s="72">
        <f t="shared" si="46"/>
        <v>60.99</v>
      </c>
      <c r="E73" s="74">
        <f t="shared" si="46"/>
        <v>814.95</v>
      </c>
      <c r="F73" s="72">
        <f t="shared" si="46"/>
        <v>60.99</v>
      </c>
      <c r="G73" s="74">
        <f t="shared" si="46"/>
        <v>60.99</v>
      </c>
      <c r="H73" s="72">
        <f t="shared" si="46"/>
        <v>60.99</v>
      </c>
      <c r="I73" s="74">
        <f t="shared" si="46"/>
        <v>60.99</v>
      </c>
      <c r="J73" s="72">
        <f t="shared" si="46"/>
        <v>110.99</v>
      </c>
      <c r="K73" s="73">
        <f t="shared" si="46"/>
        <v>114.99</v>
      </c>
      <c r="L73" s="72">
        <f t="shared" si="46"/>
        <v>110.99</v>
      </c>
      <c r="M73" s="74">
        <f t="shared" si="46"/>
        <v>0</v>
      </c>
      <c r="N73" s="72">
        <f t="shared" si="46"/>
        <v>110.99</v>
      </c>
      <c r="O73" s="74">
        <f t="shared" si="46"/>
        <v>0</v>
      </c>
      <c r="P73" s="72">
        <f t="shared" si="46"/>
        <v>110.99</v>
      </c>
      <c r="Q73" s="74">
        <f t="shared" si="46"/>
        <v>0</v>
      </c>
      <c r="R73" s="72">
        <f t="shared" si="46"/>
        <v>2295.9899999999998</v>
      </c>
      <c r="S73" s="74">
        <f t="shared" si="46"/>
        <v>0</v>
      </c>
      <c r="T73" s="72">
        <f t="shared" si="46"/>
        <v>110.99</v>
      </c>
      <c r="U73" s="73">
        <f t="shared" si="46"/>
        <v>0</v>
      </c>
      <c r="V73" s="72">
        <f t="shared" si="46"/>
        <v>110.99</v>
      </c>
      <c r="W73" s="74">
        <f t="shared" si="46"/>
        <v>0</v>
      </c>
      <c r="X73" s="72">
        <f t="shared" si="46"/>
        <v>1570.99</v>
      </c>
      <c r="Y73" s="74">
        <f t="shared" si="46"/>
        <v>0</v>
      </c>
      <c r="Z73" s="73">
        <f t="shared" ref="Z73:Z113" si="47">SUM($B73,$D73,$F73,$H73,$J73,$L73,$N73,$P73,$R73,$T73,$V73,$X73)</f>
        <v>4776.8799999999992</v>
      </c>
      <c r="AA73" s="74">
        <f t="shared" si="46"/>
        <v>1112.9100000000001</v>
      </c>
      <c r="AC73" s="74">
        <f t="shared" ca="1" si="46"/>
        <v>354.95</v>
      </c>
      <c r="AD73" s="74">
        <f t="shared" si="46"/>
        <v>1112.9100000000001</v>
      </c>
      <c r="AE73" s="72">
        <f t="shared" ca="1" si="28"/>
        <v>-757.96</v>
      </c>
      <c r="AG73" s="74">
        <f t="shared" ref="AG73:AH73" ca="1" si="48">SUM(AG66:AG72)</f>
        <v>110.99</v>
      </c>
      <c r="AH73" s="74">
        <f t="shared" ca="1" si="48"/>
        <v>114.99</v>
      </c>
      <c r="AI73" s="72">
        <f t="shared" ca="1" si="29"/>
        <v>-4</v>
      </c>
      <c r="AQ73" s="49"/>
    </row>
    <row r="74" spans="1:43" ht="14.4" x14ac:dyDescent="0.55000000000000004">
      <c r="A74" s="13" t="s">
        <v>182</v>
      </c>
      <c r="B74" s="67"/>
      <c r="C74" s="69"/>
      <c r="D74" s="67"/>
      <c r="E74" s="69"/>
      <c r="F74" s="67"/>
      <c r="G74" s="69"/>
      <c r="H74" s="67"/>
      <c r="I74" s="69"/>
      <c r="J74" s="67"/>
      <c r="K74" s="68"/>
      <c r="L74" s="67"/>
      <c r="M74" s="69"/>
      <c r="N74" s="67"/>
      <c r="O74" s="69"/>
      <c r="P74" s="67"/>
      <c r="Q74" s="69"/>
      <c r="R74" s="67"/>
      <c r="S74" s="69"/>
      <c r="T74" s="67"/>
      <c r="U74" s="68"/>
      <c r="V74" s="67"/>
      <c r="W74" s="69"/>
      <c r="X74" s="67"/>
      <c r="Y74" s="69"/>
      <c r="Z74" s="68">
        <f t="shared" si="47"/>
        <v>0</v>
      </c>
      <c r="AA74" s="69">
        <f t="shared" ref="AA74:AA78" si="49">SUM(C74,E74,G74,I74,K74,M74,O74,Q74,S74,U74,W74,Y74)</f>
        <v>0</v>
      </c>
      <c r="AC74" s="69" cm="1">
        <f t="array" aca="1" ref="AC74" ca="1">_xlfn.LET(_xlpm.myRng, OFFSET($B74,0,0,1,2*myMonth-1),
      SUMPRODUCT((MOD(COLUMN(_xlpm.myRng)-COLUMN($B74),2)=0)*_xlpm.myRng)
    )</f>
        <v>0</v>
      </c>
      <c r="AD74" s="69">
        <f t="shared" si="26"/>
        <v>0</v>
      </c>
      <c r="AE74" s="93">
        <f t="shared" ca="1" si="28"/>
        <v>0</v>
      </c>
      <c r="AG74" s="69" cm="1">
        <f t="array" aca="1" ref="AG74" ca="1">_xlfn.LET(_xlpm.myRng, OFFSET($B74,0,2*(myMonth-1),1,1),
      SUMPRODUCT((MOD(COLUMN(_xlpm.myRng)-COLUMN($B74),2)=0)*_xlpm.myRng)
    )</f>
        <v>0</v>
      </c>
      <c r="AH74" s="71" cm="1">
        <f t="array" aca="1" ref="AH74" ca="1">_xlfn.LET(_xlpm.myRng, OFFSET($C74,0,2*(myMonth-1),1,1),
      SUMPRODUCT((MOD(COLUMN(_xlpm.myRng)-COLUMN($C74),2)=0)*_xlpm.myRng)
    )</f>
        <v>0</v>
      </c>
      <c r="AI74" s="93">
        <f t="shared" ca="1" si="29"/>
        <v>0</v>
      </c>
      <c r="AQ74" s="49"/>
    </row>
    <row r="75" spans="1:43" ht="14.4" x14ac:dyDescent="0.55000000000000004">
      <c r="A75" s="13" t="s">
        <v>183</v>
      </c>
      <c r="B75" s="67"/>
      <c r="C75" s="69"/>
      <c r="D75" s="67"/>
      <c r="E75" s="69"/>
      <c r="F75" s="67"/>
      <c r="G75" s="69"/>
      <c r="H75" s="67"/>
      <c r="I75" s="69"/>
      <c r="J75" s="67"/>
      <c r="K75" s="68"/>
      <c r="L75" s="67"/>
      <c r="M75" s="69"/>
      <c r="N75" s="67"/>
      <c r="O75" s="69"/>
      <c r="P75" s="67"/>
      <c r="Q75" s="69"/>
      <c r="R75" s="67"/>
      <c r="S75" s="69"/>
      <c r="T75" s="67"/>
      <c r="U75" s="68"/>
      <c r="V75" s="67"/>
      <c r="W75" s="69"/>
      <c r="X75" s="67"/>
      <c r="Y75" s="69"/>
      <c r="Z75" s="68">
        <f t="shared" si="47"/>
        <v>0</v>
      </c>
      <c r="AA75" s="69">
        <f t="shared" si="49"/>
        <v>0</v>
      </c>
      <c r="AC75" s="69" cm="1">
        <f t="array" aca="1" ref="AC75" ca="1">_xlfn.LET(_xlpm.myRng, OFFSET($B75,0,0,1,2*myMonth-1),
      SUMPRODUCT((MOD(COLUMN(_xlpm.myRng)-COLUMN($B75),2)=0)*_xlpm.myRng)
    )</f>
        <v>0</v>
      </c>
      <c r="AD75" s="69">
        <f t="shared" si="26"/>
        <v>0</v>
      </c>
      <c r="AE75" s="93">
        <f t="shared" ca="1" si="28"/>
        <v>0</v>
      </c>
      <c r="AG75" s="69" cm="1">
        <f t="array" aca="1" ref="AG75" ca="1">_xlfn.LET(_xlpm.myRng, OFFSET($B75,0,2*(myMonth-1),1,1),
      SUMPRODUCT((MOD(COLUMN(_xlpm.myRng)-COLUMN($B75),2)=0)*_xlpm.myRng)
    )</f>
        <v>0</v>
      </c>
      <c r="AH75" s="71" cm="1">
        <f t="array" aca="1" ref="AH75" ca="1">_xlfn.LET(_xlpm.myRng, OFFSET($C75,0,2*(myMonth-1),1,1),
      SUMPRODUCT((MOD(COLUMN(_xlpm.myRng)-COLUMN($C75),2)=0)*_xlpm.myRng)
    )</f>
        <v>0</v>
      </c>
      <c r="AI75" s="93">
        <f t="shared" ca="1" si="29"/>
        <v>0</v>
      </c>
      <c r="AJ75" s="33"/>
      <c r="AQ75" s="49"/>
    </row>
    <row r="76" spans="1:43" ht="14.4" x14ac:dyDescent="0.55000000000000004">
      <c r="A76" s="13" t="s">
        <v>184</v>
      </c>
      <c r="B76" s="67"/>
      <c r="C76" s="69"/>
      <c r="D76" s="67"/>
      <c r="E76" s="69"/>
      <c r="F76" s="67"/>
      <c r="G76" s="69"/>
      <c r="H76" s="67"/>
      <c r="I76" s="69"/>
      <c r="J76" s="67"/>
      <c r="K76" s="68"/>
      <c r="L76" s="67"/>
      <c r="M76" s="69"/>
      <c r="N76" s="67"/>
      <c r="O76" s="69"/>
      <c r="P76" s="67"/>
      <c r="Q76" s="69"/>
      <c r="R76" s="67"/>
      <c r="S76" s="69"/>
      <c r="T76" s="67"/>
      <c r="U76" s="68"/>
      <c r="V76" s="67"/>
      <c r="W76" s="69"/>
      <c r="X76" s="67"/>
      <c r="Y76" s="69"/>
      <c r="Z76" s="68">
        <f t="shared" si="47"/>
        <v>0</v>
      </c>
      <c r="AA76" s="69">
        <f t="shared" si="49"/>
        <v>0</v>
      </c>
      <c r="AC76" s="69" cm="1">
        <f t="array" aca="1" ref="AC76" ca="1">_xlfn.LET(_xlpm.myRng, OFFSET($B76,0,0,1,2*myMonth-1),
      SUMPRODUCT((MOD(COLUMN(_xlpm.myRng)-COLUMN($B76),2)=0)*_xlpm.myRng)
    )</f>
        <v>0</v>
      </c>
      <c r="AD76" s="69">
        <f t="shared" si="26"/>
        <v>0</v>
      </c>
      <c r="AE76" s="93">
        <f t="shared" ca="1" si="28"/>
        <v>0</v>
      </c>
      <c r="AG76" s="69" cm="1">
        <f t="array" aca="1" ref="AG76" ca="1">_xlfn.LET(_xlpm.myRng, OFFSET($B76,0,2*(myMonth-1),1,1),
      SUMPRODUCT((MOD(COLUMN(_xlpm.myRng)-COLUMN($B76),2)=0)*_xlpm.myRng)
    )</f>
        <v>0</v>
      </c>
      <c r="AH76" s="71" cm="1">
        <f t="array" aca="1" ref="AH76" ca="1">_xlfn.LET(_xlpm.myRng, OFFSET($C76,0,2*(myMonth-1),1,1),
      SUMPRODUCT((MOD(COLUMN(_xlpm.myRng)-COLUMN($C76),2)=0)*_xlpm.myRng)
    )</f>
        <v>0</v>
      </c>
      <c r="AI76" s="93">
        <f t="shared" ca="1" si="29"/>
        <v>0</v>
      </c>
      <c r="AJ76" s="36" t="s">
        <v>185</v>
      </c>
      <c r="AQ76" s="49" t="s">
        <v>186</v>
      </c>
    </row>
    <row r="77" spans="1:43" ht="14.4" x14ac:dyDescent="0.55000000000000004">
      <c r="A77" s="13" t="s">
        <v>187</v>
      </c>
      <c r="B77" s="67"/>
      <c r="C77" s="69"/>
      <c r="D77" s="67"/>
      <c r="E77" s="69"/>
      <c r="F77" s="67"/>
      <c r="G77" s="69"/>
      <c r="H77" s="67"/>
      <c r="I77" s="69"/>
      <c r="J77" s="67"/>
      <c r="K77" s="68"/>
      <c r="L77" s="67"/>
      <c r="M77" s="69"/>
      <c r="N77" s="67"/>
      <c r="O77" s="69"/>
      <c r="P77" s="67"/>
      <c r="Q77" s="69"/>
      <c r="R77" s="67"/>
      <c r="S77" s="69"/>
      <c r="T77" s="67"/>
      <c r="U77" s="68"/>
      <c r="V77" s="67"/>
      <c r="W77" s="69"/>
      <c r="X77" s="67"/>
      <c r="Y77" s="69"/>
      <c r="Z77" s="68">
        <f t="shared" si="47"/>
        <v>0</v>
      </c>
      <c r="AA77" s="69">
        <f t="shared" si="49"/>
        <v>0</v>
      </c>
      <c r="AC77" s="69" cm="1">
        <f t="array" aca="1" ref="AC77" ca="1">_xlfn.LET(_xlpm.myRng, OFFSET($B77,0,0,1,2*myMonth-1),
      SUMPRODUCT((MOD(COLUMN(_xlpm.myRng)-COLUMN($B77),2)=0)*_xlpm.myRng)
    )</f>
        <v>0</v>
      </c>
      <c r="AD77" s="69">
        <f t="shared" si="26"/>
        <v>0</v>
      </c>
      <c r="AE77" s="93">
        <f t="shared" ca="1" si="28"/>
        <v>0</v>
      </c>
      <c r="AG77" s="69" cm="1">
        <f t="array" aca="1" ref="AG77" ca="1">_xlfn.LET(_xlpm.myRng, OFFSET($B77,0,2*(myMonth-1),1,1),
      SUMPRODUCT((MOD(COLUMN(_xlpm.myRng)-COLUMN($B77),2)=0)*_xlpm.myRng)
    )</f>
        <v>0</v>
      </c>
      <c r="AH77" s="71" cm="1">
        <f t="array" aca="1" ref="AH77" ca="1">_xlfn.LET(_xlpm.myRng, OFFSET($C77,0,2*(myMonth-1),1,1),
      SUMPRODUCT((MOD(COLUMN(_xlpm.myRng)-COLUMN($C77),2)=0)*_xlpm.myRng)
    )</f>
        <v>0</v>
      </c>
      <c r="AI77" s="93">
        <f t="shared" ca="1" si="29"/>
        <v>0</v>
      </c>
      <c r="AQ77" s="49"/>
    </row>
    <row r="78" spans="1:43" ht="14.4" x14ac:dyDescent="0.55000000000000004">
      <c r="A78" s="13" t="s">
        <v>188</v>
      </c>
      <c r="B78" s="67"/>
      <c r="C78" s="69"/>
      <c r="D78" s="67"/>
      <c r="E78" s="69"/>
      <c r="F78" s="67"/>
      <c r="G78" s="69"/>
      <c r="H78" s="67"/>
      <c r="I78" s="69"/>
      <c r="J78" s="67"/>
      <c r="K78" s="68"/>
      <c r="L78" s="67"/>
      <c r="M78" s="69"/>
      <c r="N78" s="67"/>
      <c r="O78" s="69"/>
      <c r="P78" s="67"/>
      <c r="Q78" s="69"/>
      <c r="R78" s="67"/>
      <c r="S78" s="69"/>
      <c r="T78" s="67"/>
      <c r="U78" s="68"/>
      <c r="V78" s="67"/>
      <c r="W78" s="69"/>
      <c r="X78" s="67"/>
      <c r="Y78" s="69"/>
      <c r="Z78" s="68">
        <f t="shared" si="47"/>
        <v>0</v>
      </c>
      <c r="AA78" s="69">
        <f t="shared" si="49"/>
        <v>0</v>
      </c>
      <c r="AC78" s="69" cm="1">
        <f t="array" aca="1" ref="AC78" ca="1">_xlfn.LET(_xlpm.myRng, OFFSET($B78,0,0,1,2*myMonth-1),
      SUMPRODUCT((MOD(COLUMN(_xlpm.myRng)-COLUMN($B78),2)=0)*_xlpm.myRng)
    )</f>
        <v>0</v>
      </c>
      <c r="AD78" s="69">
        <f t="shared" si="26"/>
        <v>0</v>
      </c>
      <c r="AE78" s="93">
        <f t="shared" ca="1" si="28"/>
        <v>0</v>
      </c>
      <c r="AG78" s="69" cm="1">
        <f t="array" aca="1" ref="AG78" ca="1">_xlfn.LET(_xlpm.myRng, OFFSET($B78,0,2*(myMonth-1),1,1),
      SUMPRODUCT((MOD(COLUMN(_xlpm.myRng)-COLUMN($B78),2)=0)*_xlpm.myRng)
    )</f>
        <v>0</v>
      </c>
      <c r="AH78" s="71" cm="1">
        <f t="array" aca="1" ref="AH78" ca="1">_xlfn.LET(_xlpm.myRng, OFFSET($C78,0,2*(myMonth-1),1,1),
      SUMPRODUCT((MOD(COLUMN(_xlpm.myRng)-COLUMN($C78),2)=0)*_xlpm.myRng)
    )</f>
        <v>0</v>
      </c>
      <c r="AI78" s="93">
        <f t="shared" ca="1" si="29"/>
        <v>0</v>
      </c>
      <c r="AQ78" s="49"/>
    </row>
    <row r="79" spans="1:43" ht="14.4" x14ac:dyDescent="0.55000000000000004">
      <c r="A79" s="12" t="s">
        <v>189</v>
      </c>
      <c r="B79" s="72">
        <f t="shared" ref="B79" si="50">SUM(B74:B78)</f>
        <v>0</v>
      </c>
      <c r="C79" s="74">
        <f t="shared" ref="C79:AD79" si="51">SUM(C74:C78)</f>
        <v>0</v>
      </c>
      <c r="D79" s="72">
        <f t="shared" si="51"/>
        <v>0</v>
      </c>
      <c r="E79" s="74">
        <f t="shared" si="51"/>
        <v>0</v>
      </c>
      <c r="F79" s="72">
        <f t="shared" si="51"/>
        <v>0</v>
      </c>
      <c r="G79" s="74">
        <f t="shared" si="51"/>
        <v>0</v>
      </c>
      <c r="H79" s="72">
        <f t="shared" si="51"/>
        <v>0</v>
      </c>
      <c r="I79" s="74">
        <f t="shared" si="51"/>
        <v>0</v>
      </c>
      <c r="J79" s="72">
        <f t="shared" si="51"/>
        <v>0</v>
      </c>
      <c r="K79" s="73">
        <f t="shared" si="51"/>
        <v>0</v>
      </c>
      <c r="L79" s="72">
        <f t="shared" si="51"/>
        <v>0</v>
      </c>
      <c r="M79" s="74">
        <f t="shared" si="51"/>
        <v>0</v>
      </c>
      <c r="N79" s="72">
        <f t="shared" si="51"/>
        <v>0</v>
      </c>
      <c r="O79" s="74">
        <f t="shared" si="51"/>
        <v>0</v>
      </c>
      <c r="P79" s="72">
        <f t="shared" si="51"/>
        <v>0</v>
      </c>
      <c r="Q79" s="74">
        <f t="shared" si="51"/>
        <v>0</v>
      </c>
      <c r="R79" s="72">
        <f t="shared" si="51"/>
        <v>0</v>
      </c>
      <c r="S79" s="74">
        <f t="shared" si="51"/>
        <v>0</v>
      </c>
      <c r="T79" s="72">
        <f t="shared" si="51"/>
        <v>0</v>
      </c>
      <c r="U79" s="73">
        <f t="shared" si="51"/>
        <v>0</v>
      </c>
      <c r="V79" s="72">
        <f t="shared" si="51"/>
        <v>0</v>
      </c>
      <c r="W79" s="74">
        <f t="shared" si="51"/>
        <v>0</v>
      </c>
      <c r="X79" s="72">
        <f t="shared" si="51"/>
        <v>0</v>
      </c>
      <c r="Y79" s="74">
        <f t="shared" si="51"/>
        <v>0</v>
      </c>
      <c r="Z79" s="73">
        <f t="shared" si="47"/>
        <v>0</v>
      </c>
      <c r="AA79" s="74">
        <f t="shared" si="51"/>
        <v>0</v>
      </c>
      <c r="AC79" s="74">
        <f t="shared" ca="1" si="51"/>
        <v>0</v>
      </c>
      <c r="AD79" s="74">
        <f t="shared" si="51"/>
        <v>0</v>
      </c>
      <c r="AE79" s="72">
        <f t="shared" ca="1" si="28"/>
        <v>0</v>
      </c>
      <c r="AG79" s="74">
        <f t="shared" ref="AG79:AH79" ca="1" si="52">SUM(AG74:AG78)</f>
        <v>0</v>
      </c>
      <c r="AH79" s="74">
        <f t="shared" ca="1" si="52"/>
        <v>0</v>
      </c>
      <c r="AI79" s="72">
        <f t="shared" ca="1" si="29"/>
        <v>0</v>
      </c>
      <c r="AQ79" s="49"/>
    </row>
    <row r="80" spans="1:43" ht="14.4" x14ac:dyDescent="0.55000000000000004">
      <c r="A80" s="13" t="s">
        <v>190</v>
      </c>
      <c r="B80" s="67"/>
      <c r="C80" s="69"/>
      <c r="D80" s="67"/>
      <c r="E80" s="69"/>
      <c r="F80" s="67"/>
      <c r="G80" s="69"/>
      <c r="H80" s="67"/>
      <c r="I80" s="69"/>
      <c r="J80" s="67"/>
      <c r="K80" s="68"/>
      <c r="L80" s="67"/>
      <c r="M80" s="69"/>
      <c r="N80" s="67"/>
      <c r="O80" s="69"/>
      <c r="P80" s="67"/>
      <c r="Q80" s="69"/>
      <c r="R80" s="67"/>
      <c r="S80" s="69"/>
      <c r="T80" s="67"/>
      <c r="U80" s="68"/>
      <c r="V80" s="67"/>
      <c r="W80" s="69"/>
      <c r="X80" s="67"/>
      <c r="Y80" s="69"/>
      <c r="Z80" s="68">
        <f t="shared" si="47"/>
        <v>0</v>
      </c>
      <c r="AA80" s="69">
        <f t="shared" ref="AA80:AA81" si="53">SUM(C80,E80,G80,I80,K80,M80,O80,Q80,S80,U80,W80,Y80)</f>
        <v>0</v>
      </c>
      <c r="AC80" s="69" cm="1">
        <f t="array" aca="1" ref="AC80" ca="1">_xlfn.LET(_xlpm.myRng, OFFSET($B80,0,0,1,2*myMonth-1),
      SUMPRODUCT((MOD(COLUMN(_xlpm.myRng)-COLUMN($B80),2)=0)*_xlpm.myRng)
    )</f>
        <v>0</v>
      </c>
      <c r="AD80" s="69">
        <f t="shared" si="26"/>
        <v>0</v>
      </c>
      <c r="AE80" s="93">
        <f t="shared" ca="1" si="28"/>
        <v>0</v>
      </c>
      <c r="AG80" s="69" cm="1">
        <f t="array" aca="1" ref="AG80" ca="1">_xlfn.LET(_xlpm.myRng, OFFSET($B80,0,2*(myMonth-1),1,1),
      SUMPRODUCT((MOD(COLUMN(_xlpm.myRng)-COLUMN($B80),2)=0)*_xlpm.myRng)
    )</f>
        <v>0</v>
      </c>
      <c r="AH80" s="71" cm="1">
        <f t="array" aca="1" ref="AH80" ca="1">_xlfn.LET(_xlpm.myRng, OFFSET($C80,0,2*(myMonth-1),1,1),
      SUMPRODUCT((MOD(COLUMN(_xlpm.myRng)-COLUMN($C80),2)=0)*_xlpm.myRng)
    )</f>
        <v>0</v>
      </c>
      <c r="AI80" s="93">
        <f t="shared" ca="1" si="29"/>
        <v>0</v>
      </c>
      <c r="AJ80" s="34"/>
      <c r="AQ80" s="49"/>
    </row>
    <row r="81" spans="1:43" ht="14.4" x14ac:dyDescent="0.55000000000000004">
      <c r="A81" s="13" t="s">
        <v>191</v>
      </c>
      <c r="B81" s="67"/>
      <c r="C81" s="69"/>
      <c r="D81" s="67"/>
      <c r="E81" s="69"/>
      <c r="F81" s="67"/>
      <c r="G81" s="69"/>
      <c r="H81" s="67"/>
      <c r="I81" s="69"/>
      <c r="J81" s="67"/>
      <c r="K81" s="68"/>
      <c r="L81" s="67"/>
      <c r="M81" s="69"/>
      <c r="N81" s="67"/>
      <c r="O81" s="69"/>
      <c r="P81" s="67"/>
      <c r="Q81" s="69"/>
      <c r="R81" s="67"/>
      <c r="S81" s="69"/>
      <c r="T81" s="67"/>
      <c r="U81" s="68"/>
      <c r="V81" s="67"/>
      <c r="W81" s="69"/>
      <c r="X81" s="67"/>
      <c r="Y81" s="69"/>
      <c r="Z81" s="68">
        <f t="shared" si="47"/>
        <v>0</v>
      </c>
      <c r="AA81" s="69">
        <f t="shared" si="53"/>
        <v>0</v>
      </c>
      <c r="AC81" s="69" cm="1">
        <f t="array" aca="1" ref="AC81" ca="1">_xlfn.LET(_xlpm.myRng, OFFSET($B81,0,0,1,2*myMonth-1),
      SUMPRODUCT((MOD(COLUMN(_xlpm.myRng)-COLUMN($B81),2)=0)*_xlpm.myRng)
    )</f>
        <v>0</v>
      </c>
      <c r="AD81" s="69">
        <f t="shared" si="26"/>
        <v>0</v>
      </c>
      <c r="AE81" s="93">
        <f t="shared" ca="1" si="28"/>
        <v>0</v>
      </c>
      <c r="AG81" s="69" cm="1">
        <f t="array" aca="1" ref="AG81" ca="1">_xlfn.LET(_xlpm.myRng, OFFSET($B81,0,2*(myMonth-1),1,1),
      SUMPRODUCT((MOD(COLUMN(_xlpm.myRng)-COLUMN($B81),2)=0)*_xlpm.myRng)
    )</f>
        <v>0</v>
      </c>
      <c r="AH81" s="71" cm="1">
        <f t="array" aca="1" ref="AH81" ca="1">_xlfn.LET(_xlpm.myRng, OFFSET($C81,0,2*(myMonth-1),1,1),
      SUMPRODUCT((MOD(COLUMN(_xlpm.myRng)-COLUMN($C81),2)=0)*_xlpm.myRng)
    )</f>
        <v>0</v>
      </c>
      <c r="AI81" s="93">
        <f t="shared" ca="1" si="29"/>
        <v>0</v>
      </c>
      <c r="AJ81" s="36" t="s">
        <v>192</v>
      </c>
      <c r="AQ81" s="49"/>
    </row>
    <row r="82" spans="1:43" ht="14.4" x14ac:dyDescent="0.55000000000000004">
      <c r="A82" s="12" t="s">
        <v>193</v>
      </c>
      <c r="B82" s="72">
        <f t="shared" ref="B82" si="54">SUM(B80:B81)</f>
        <v>0</v>
      </c>
      <c r="C82" s="74">
        <f t="shared" ref="C82:AD82" si="55">SUM(C80:C81)</f>
        <v>0</v>
      </c>
      <c r="D82" s="72">
        <f t="shared" si="55"/>
        <v>0</v>
      </c>
      <c r="E82" s="74">
        <f t="shared" si="55"/>
        <v>0</v>
      </c>
      <c r="F82" s="72">
        <f t="shared" si="55"/>
        <v>0</v>
      </c>
      <c r="G82" s="74">
        <f t="shared" si="55"/>
        <v>0</v>
      </c>
      <c r="H82" s="72">
        <f t="shared" si="55"/>
        <v>0</v>
      </c>
      <c r="I82" s="74">
        <f t="shared" si="55"/>
        <v>0</v>
      </c>
      <c r="J82" s="72">
        <f t="shared" si="55"/>
        <v>0</v>
      </c>
      <c r="K82" s="73">
        <f t="shared" si="55"/>
        <v>0</v>
      </c>
      <c r="L82" s="72">
        <f t="shared" si="55"/>
        <v>0</v>
      </c>
      <c r="M82" s="74">
        <f t="shared" si="55"/>
        <v>0</v>
      </c>
      <c r="N82" s="72">
        <f t="shared" si="55"/>
        <v>0</v>
      </c>
      <c r="O82" s="74">
        <f t="shared" si="55"/>
        <v>0</v>
      </c>
      <c r="P82" s="72">
        <f t="shared" si="55"/>
        <v>0</v>
      </c>
      <c r="Q82" s="74">
        <f t="shared" si="55"/>
        <v>0</v>
      </c>
      <c r="R82" s="72">
        <f t="shared" si="55"/>
        <v>0</v>
      </c>
      <c r="S82" s="74">
        <f t="shared" si="55"/>
        <v>0</v>
      </c>
      <c r="T82" s="72">
        <f t="shared" si="55"/>
        <v>0</v>
      </c>
      <c r="U82" s="73">
        <f t="shared" si="55"/>
        <v>0</v>
      </c>
      <c r="V82" s="72">
        <f t="shared" si="55"/>
        <v>0</v>
      </c>
      <c r="W82" s="74">
        <f t="shared" si="55"/>
        <v>0</v>
      </c>
      <c r="X82" s="72">
        <f t="shared" si="55"/>
        <v>0</v>
      </c>
      <c r="Y82" s="74">
        <f t="shared" si="55"/>
        <v>0</v>
      </c>
      <c r="Z82" s="73">
        <f t="shared" si="47"/>
        <v>0</v>
      </c>
      <c r="AA82" s="74">
        <f t="shared" si="55"/>
        <v>0</v>
      </c>
      <c r="AC82" s="74">
        <f t="shared" ca="1" si="55"/>
        <v>0</v>
      </c>
      <c r="AD82" s="74">
        <f t="shared" si="55"/>
        <v>0</v>
      </c>
      <c r="AE82" s="72">
        <f t="shared" ca="1" si="28"/>
        <v>0</v>
      </c>
      <c r="AG82" s="74">
        <f t="shared" ref="AG82:AH82" ca="1" si="56">SUM(AG80:AG81)</f>
        <v>0</v>
      </c>
      <c r="AH82" s="74">
        <f t="shared" ca="1" si="56"/>
        <v>0</v>
      </c>
      <c r="AI82" s="72">
        <f t="shared" ca="1" si="29"/>
        <v>0</v>
      </c>
      <c r="AQ82" s="49"/>
    </row>
    <row r="83" spans="1:43" ht="14.4" x14ac:dyDescent="0.55000000000000004">
      <c r="A83" s="13" t="s">
        <v>194</v>
      </c>
      <c r="B83" s="67"/>
      <c r="C83" s="69"/>
      <c r="D83" s="67"/>
      <c r="E83" s="69"/>
      <c r="F83" s="67"/>
      <c r="G83" s="69"/>
      <c r="H83" s="67"/>
      <c r="I83" s="69"/>
      <c r="J83" s="67">
        <v>275</v>
      </c>
      <c r="K83" s="70">
        <v>255.23</v>
      </c>
      <c r="L83" s="67"/>
      <c r="M83" s="69"/>
      <c r="N83" s="67"/>
      <c r="O83" s="69"/>
      <c r="P83" s="67"/>
      <c r="Q83" s="69"/>
      <c r="R83" s="67"/>
      <c r="S83" s="69"/>
      <c r="T83" s="67"/>
      <c r="U83" s="70"/>
      <c r="V83" s="67"/>
      <c r="W83" s="69"/>
      <c r="X83" s="67"/>
      <c r="Y83" s="69"/>
      <c r="Z83" s="68">
        <f t="shared" si="47"/>
        <v>275</v>
      </c>
      <c r="AA83" s="69">
        <f t="shared" ref="AA83:AA86" si="57">SUM(C83,E83,G83,I83,K83,M83,O83,Q83,S83,U83,W83,Y83)</f>
        <v>255.23</v>
      </c>
      <c r="AC83" s="69" cm="1">
        <f t="array" aca="1" ref="AC83" ca="1">_xlfn.LET(_xlpm.myRng, OFFSET($B83,0,0,1,2*myMonth-1),
      SUMPRODUCT((MOD(COLUMN(_xlpm.myRng)-COLUMN($B83),2)=0)*_xlpm.myRng)
    )</f>
        <v>275</v>
      </c>
      <c r="AD83" s="69">
        <f t="shared" si="26"/>
        <v>255.23</v>
      </c>
      <c r="AE83" s="93">
        <f t="shared" ca="1" si="28"/>
        <v>19.77000000000001</v>
      </c>
      <c r="AG83" s="69" cm="1">
        <f t="array" aca="1" ref="AG83" ca="1">_xlfn.LET(_xlpm.myRng, OFFSET($B83,0,2*(myMonth-1),1,1),
      SUMPRODUCT((MOD(COLUMN(_xlpm.myRng)-COLUMN($B83),2)=0)*_xlpm.myRng)
    )</f>
        <v>275</v>
      </c>
      <c r="AH83" s="71" cm="1">
        <f t="array" aca="1" ref="AH83" ca="1">_xlfn.LET(_xlpm.myRng, OFFSET($C83,0,2*(myMonth-1),1,1),
      SUMPRODUCT((MOD(COLUMN(_xlpm.myRng)-COLUMN($C83),2)=0)*_xlpm.myRng)
    )</f>
        <v>255.23</v>
      </c>
      <c r="AI83" s="93">
        <f t="shared" ca="1" si="29"/>
        <v>19.77000000000001</v>
      </c>
      <c r="AJ83" s="36" t="s">
        <v>156</v>
      </c>
      <c r="AQ83" s="49" t="s">
        <v>195</v>
      </c>
    </row>
    <row r="84" spans="1:43" ht="14.4" x14ac:dyDescent="0.55000000000000004">
      <c r="A84" s="13" t="s">
        <v>196</v>
      </c>
      <c r="B84" s="67"/>
      <c r="C84" s="69"/>
      <c r="D84" s="67">
        <v>250</v>
      </c>
      <c r="E84" s="69">
        <v>244</v>
      </c>
      <c r="F84" s="67"/>
      <c r="G84" s="69"/>
      <c r="H84" s="67"/>
      <c r="I84" s="69"/>
      <c r="J84" s="67"/>
      <c r="K84" s="68"/>
      <c r="L84" s="67"/>
      <c r="M84" s="69"/>
      <c r="N84" s="67"/>
      <c r="O84" s="69"/>
      <c r="P84" s="67"/>
      <c r="Q84" s="69"/>
      <c r="R84" s="67"/>
      <c r="S84" s="69"/>
      <c r="T84" s="67"/>
      <c r="U84" s="68"/>
      <c r="V84" s="67"/>
      <c r="W84" s="69"/>
      <c r="X84" s="67"/>
      <c r="Y84" s="69"/>
      <c r="Z84" s="68">
        <f t="shared" si="47"/>
        <v>250</v>
      </c>
      <c r="AA84" s="69">
        <f t="shared" si="57"/>
        <v>244</v>
      </c>
      <c r="AC84" s="69" cm="1">
        <f t="array" aca="1" ref="AC84" ca="1">_xlfn.LET(_xlpm.myRng, OFFSET($B84,0,0,1,2*myMonth-1),
      SUMPRODUCT((MOD(COLUMN(_xlpm.myRng)-COLUMN($B84),2)=0)*_xlpm.myRng)
    )</f>
        <v>250</v>
      </c>
      <c r="AD84" s="69">
        <f t="shared" si="26"/>
        <v>244</v>
      </c>
      <c r="AE84" s="93">
        <f t="shared" ca="1" si="28"/>
        <v>6</v>
      </c>
      <c r="AG84" s="69" cm="1">
        <f t="array" aca="1" ref="AG84" ca="1">_xlfn.LET(_xlpm.myRng, OFFSET($B84,0,2*(myMonth-1),1,1),
      SUMPRODUCT((MOD(COLUMN(_xlpm.myRng)-COLUMN($B84),2)=0)*_xlpm.myRng)
    )</f>
        <v>0</v>
      </c>
      <c r="AH84" s="71" cm="1">
        <f t="array" aca="1" ref="AH84" ca="1">_xlfn.LET(_xlpm.myRng, OFFSET($C84,0,2*(myMonth-1),1,1),
      SUMPRODUCT((MOD(COLUMN(_xlpm.myRng)-COLUMN($C84),2)=0)*_xlpm.myRng)
    )</f>
        <v>0</v>
      </c>
      <c r="AI84" s="93">
        <f t="shared" ca="1" si="29"/>
        <v>0</v>
      </c>
      <c r="AJ84" s="36" t="s">
        <v>156</v>
      </c>
      <c r="AQ84" s="49" t="s">
        <v>197</v>
      </c>
    </row>
    <row r="85" spans="1:43" ht="14.4" x14ac:dyDescent="0.55000000000000004">
      <c r="A85" s="13" t="s">
        <v>198</v>
      </c>
      <c r="B85" s="67"/>
      <c r="C85" s="69"/>
      <c r="D85" s="67"/>
      <c r="E85" s="69"/>
      <c r="F85" s="67"/>
      <c r="G85" s="69"/>
      <c r="H85" s="67"/>
      <c r="I85" s="69">
        <v>70</v>
      </c>
      <c r="J85" s="67">
        <v>75</v>
      </c>
      <c r="K85" s="68"/>
      <c r="L85" s="67"/>
      <c r="M85" s="69"/>
      <c r="N85" s="67"/>
      <c r="O85" s="69"/>
      <c r="P85" s="67"/>
      <c r="Q85" s="69"/>
      <c r="R85" s="67"/>
      <c r="S85" s="69"/>
      <c r="T85" s="67"/>
      <c r="U85" s="68"/>
      <c r="V85" s="67"/>
      <c r="W85" s="69"/>
      <c r="X85" s="67"/>
      <c r="Y85" s="69"/>
      <c r="Z85" s="68">
        <f t="shared" si="47"/>
        <v>75</v>
      </c>
      <c r="AA85" s="69">
        <f t="shared" si="57"/>
        <v>70</v>
      </c>
      <c r="AC85" s="69" cm="1">
        <f t="array" aca="1" ref="AC85" ca="1">_xlfn.LET(_xlpm.myRng, OFFSET($B85,0,0,1,2*myMonth-1),
      SUMPRODUCT((MOD(COLUMN(_xlpm.myRng)-COLUMN($B85),2)=0)*_xlpm.myRng)
    )</f>
        <v>75</v>
      </c>
      <c r="AD85" s="69">
        <f t="shared" si="26"/>
        <v>70</v>
      </c>
      <c r="AE85" s="93">
        <f t="shared" ca="1" si="28"/>
        <v>5</v>
      </c>
      <c r="AG85" s="69" cm="1">
        <f t="array" aca="1" ref="AG85" ca="1">_xlfn.LET(_xlpm.myRng, OFFSET($B85,0,2*(myMonth-1),1,1),
      SUMPRODUCT((MOD(COLUMN(_xlpm.myRng)-COLUMN($B85),2)=0)*_xlpm.myRng)
    )</f>
        <v>75</v>
      </c>
      <c r="AH85" s="71" cm="1">
        <f t="array" aca="1" ref="AH85" ca="1">_xlfn.LET(_xlpm.myRng, OFFSET($C85,0,2*(myMonth-1),1,1),
      SUMPRODUCT((MOD(COLUMN(_xlpm.myRng)-COLUMN($C85),2)=0)*_xlpm.myRng)
    )</f>
        <v>0</v>
      </c>
      <c r="AI85" s="93">
        <f t="shared" ca="1" si="29"/>
        <v>75</v>
      </c>
      <c r="AJ85" s="36" t="s">
        <v>156</v>
      </c>
      <c r="AQ85" s="49" t="s">
        <v>199</v>
      </c>
    </row>
    <row r="86" spans="1:43" ht="14.4" x14ac:dyDescent="0.55000000000000004">
      <c r="A86" s="13" t="s">
        <v>200</v>
      </c>
      <c r="B86" s="67"/>
      <c r="C86" s="69"/>
      <c r="D86" s="67"/>
      <c r="E86" s="69"/>
      <c r="F86" s="67">
        <v>25</v>
      </c>
      <c r="G86" s="69">
        <v>8.0500000000000007</v>
      </c>
      <c r="H86" s="67"/>
      <c r="I86" s="69"/>
      <c r="J86" s="67"/>
      <c r="K86" s="68"/>
      <c r="L86" s="67">
        <v>25</v>
      </c>
      <c r="M86" s="69"/>
      <c r="N86" s="67"/>
      <c r="O86" s="69"/>
      <c r="P86" s="67"/>
      <c r="Q86" s="69"/>
      <c r="R86" s="67">
        <v>25</v>
      </c>
      <c r="S86" s="69"/>
      <c r="T86" s="67"/>
      <c r="U86" s="68"/>
      <c r="V86" s="67"/>
      <c r="W86" s="69"/>
      <c r="X86" s="67">
        <v>25</v>
      </c>
      <c r="Y86" s="69"/>
      <c r="Z86" s="68">
        <f t="shared" si="47"/>
        <v>100</v>
      </c>
      <c r="AA86" s="69">
        <f t="shared" si="57"/>
        <v>8.0500000000000007</v>
      </c>
      <c r="AC86" s="69" cm="1">
        <f t="array" aca="1" ref="AC86" ca="1">_xlfn.LET(_xlpm.myRng, OFFSET($B86,0,0,1,2*myMonth-1),
      SUMPRODUCT((MOD(COLUMN(_xlpm.myRng)-COLUMN($B86),2)=0)*_xlpm.myRng)
    )</f>
        <v>25</v>
      </c>
      <c r="AD86" s="69">
        <f t="shared" si="26"/>
        <v>8.0500000000000007</v>
      </c>
      <c r="AE86" s="93">
        <f t="shared" ca="1" si="28"/>
        <v>16.95</v>
      </c>
      <c r="AG86" s="69" cm="1">
        <f t="array" aca="1" ref="AG86" ca="1">_xlfn.LET(_xlpm.myRng, OFFSET($B86,0,2*(myMonth-1),1,1),
      SUMPRODUCT((MOD(COLUMN(_xlpm.myRng)-COLUMN($B86),2)=0)*_xlpm.myRng)
    )</f>
        <v>0</v>
      </c>
      <c r="AH86" s="71" cm="1">
        <f t="array" aca="1" ref="AH86" ca="1">_xlfn.LET(_xlpm.myRng, OFFSET($C86,0,2*(myMonth-1),1,1),
      SUMPRODUCT((MOD(COLUMN(_xlpm.myRng)-COLUMN($C86),2)=0)*_xlpm.myRng)
    )</f>
        <v>0</v>
      </c>
      <c r="AI86" s="93">
        <f t="shared" ca="1" si="29"/>
        <v>0</v>
      </c>
      <c r="AQ86" s="49"/>
    </row>
    <row r="87" spans="1:43" ht="14.4" x14ac:dyDescent="0.55000000000000004">
      <c r="A87" s="12" t="s">
        <v>201</v>
      </c>
      <c r="B87" s="72">
        <f t="shared" ref="B87:AD87" si="58">B79+B82+SUM(B83:B86)</f>
        <v>0</v>
      </c>
      <c r="C87" s="74">
        <f t="shared" si="58"/>
        <v>0</v>
      </c>
      <c r="D87" s="72">
        <f t="shared" si="58"/>
        <v>250</v>
      </c>
      <c r="E87" s="74">
        <f t="shared" si="58"/>
        <v>244</v>
      </c>
      <c r="F87" s="72">
        <f t="shared" si="58"/>
        <v>25</v>
      </c>
      <c r="G87" s="74">
        <f t="shared" si="58"/>
        <v>8.0500000000000007</v>
      </c>
      <c r="H87" s="72">
        <f t="shared" si="58"/>
        <v>0</v>
      </c>
      <c r="I87" s="74">
        <f t="shared" si="58"/>
        <v>70</v>
      </c>
      <c r="J87" s="72">
        <f t="shared" si="58"/>
        <v>350</v>
      </c>
      <c r="K87" s="73">
        <f t="shared" si="58"/>
        <v>255.23</v>
      </c>
      <c r="L87" s="72">
        <f t="shared" si="58"/>
        <v>25</v>
      </c>
      <c r="M87" s="74">
        <f t="shared" si="58"/>
        <v>0</v>
      </c>
      <c r="N87" s="72">
        <f t="shared" si="58"/>
        <v>0</v>
      </c>
      <c r="O87" s="74">
        <f t="shared" si="58"/>
        <v>0</v>
      </c>
      <c r="P87" s="72">
        <f t="shared" si="58"/>
        <v>0</v>
      </c>
      <c r="Q87" s="74">
        <f t="shared" si="58"/>
        <v>0</v>
      </c>
      <c r="R87" s="72">
        <f t="shared" si="58"/>
        <v>25</v>
      </c>
      <c r="S87" s="74">
        <f t="shared" si="58"/>
        <v>0</v>
      </c>
      <c r="T87" s="72">
        <f t="shared" si="58"/>
        <v>0</v>
      </c>
      <c r="U87" s="73">
        <f t="shared" si="58"/>
        <v>0</v>
      </c>
      <c r="V87" s="72">
        <f t="shared" si="58"/>
        <v>0</v>
      </c>
      <c r="W87" s="74">
        <f t="shared" si="58"/>
        <v>0</v>
      </c>
      <c r="X87" s="72">
        <f t="shared" si="58"/>
        <v>25</v>
      </c>
      <c r="Y87" s="74">
        <f t="shared" si="58"/>
        <v>0</v>
      </c>
      <c r="Z87" s="73">
        <f t="shared" si="47"/>
        <v>700</v>
      </c>
      <c r="AA87" s="74">
        <f t="shared" si="58"/>
        <v>577.28</v>
      </c>
      <c r="AC87" s="74">
        <f t="shared" ca="1" si="58"/>
        <v>625</v>
      </c>
      <c r="AD87" s="74">
        <f t="shared" si="58"/>
        <v>577.28</v>
      </c>
      <c r="AE87" s="72">
        <f t="shared" ca="1" si="28"/>
        <v>47.720000000000027</v>
      </c>
      <c r="AG87" s="74">
        <f t="shared" ref="AG87:AH87" ca="1" si="59">AG79+AG82+SUM(AG83:AG86)</f>
        <v>350</v>
      </c>
      <c r="AH87" s="74">
        <f t="shared" ca="1" si="59"/>
        <v>255.23</v>
      </c>
      <c r="AI87" s="72">
        <f t="shared" ca="1" si="29"/>
        <v>94.77000000000001</v>
      </c>
      <c r="AQ87" s="49"/>
    </row>
    <row r="88" spans="1:43" ht="14.4" x14ac:dyDescent="0.55000000000000004">
      <c r="A88" s="13" t="s">
        <v>202</v>
      </c>
      <c r="B88" s="67"/>
      <c r="C88" s="69"/>
      <c r="D88" s="67"/>
      <c r="E88" s="69"/>
      <c r="F88" s="67"/>
      <c r="G88" s="69"/>
      <c r="H88" s="67"/>
      <c r="I88" s="69"/>
      <c r="J88" s="67"/>
      <c r="K88" s="68"/>
      <c r="L88" s="67"/>
      <c r="M88" s="69"/>
      <c r="N88" s="67"/>
      <c r="O88" s="69"/>
      <c r="P88" s="67"/>
      <c r="Q88" s="69"/>
      <c r="R88" s="67"/>
      <c r="S88" s="69"/>
      <c r="T88" s="67"/>
      <c r="U88" s="68"/>
      <c r="V88" s="67"/>
      <c r="W88" s="69"/>
      <c r="X88" s="67"/>
      <c r="Y88" s="69"/>
      <c r="Z88" s="68">
        <f t="shared" si="47"/>
        <v>0</v>
      </c>
      <c r="AA88" s="69">
        <f t="shared" ref="AA88:AA90" si="60">SUM(C88,E88,G88,I88,K88,M88,O88,Q88,S88,U88,W88,Y88)</f>
        <v>0</v>
      </c>
      <c r="AC88" s="69" cm="1">
        <f t="array" aca="1" ref="AC88" ca="1">_xlfn.LET(_xlpm.myRng, OFFSET($B88,0,0,1,2*myMonth-1),
      SUMPRODUCT((MOD(COLUMN(_xlpm.myRng)-COLUMN($B88),2)=0)*_xlpm.myRng)
    )</f>
        <v>0</v>
      </c>
      <c r="AD88" s="69">
        <f t="shared" si="26"/>
        <v>0</v>
      </c>
      <c r="AE88" s="93">
        <f t="shared" ca="1" si="28"/>
        <v>0</v>
      </c>
      <c r="AG88" s="69" cm="1">
        <f t="array" aca="1" ref="AG88" ca="1">_xlfn.LET(_xlpm.myRng, OFFSET($B88,0,2*(myMonth-1),1,1),
      SUMPRODUCT((MOD(COLUMN(_xlpm.myRng)-COLUMN($B88),2)=0)*_xlpm.myRng)
    )</f>
        <v>0</v>
      </c>
      <c r="AH88" s="71" cm="1">
        <f t="array" aca="1" ref="AH88" ca="1">_xlfn.LET(_xlpm.myRng, OFFSET($C88,0,2*(myMonth-1),1,1),
      SUMPRODUCT((MOD(COLUMN(_xlpm.myRng)-COLUMN($C88),2)=0)*_xlpm.myRng)
    )</f>
        <v>0</v>
      </c>
      <c r="AI88" s="93">
        <f t="shared" ca="1" si="29"/>
        <v>0</v>
      </c>
      <c r="AQ88" s="49"/>
    </row>
    <row r="89" spans="1:43" ht="14.4" x14ac:dyDescent="0.55000000000000004">
      <c r="A89" s="13" t="s">
        <v>203</v>
      </c>
      <c r="B89" s="67"/>
      <c r="C89" s="69"/>
      <c r="D89" s="67">
        <v>171.45</v>
      </c>
      <c r="E89" s="69">
        <v>171.45</v>
      </c>
      <c r="F89" s="67">
        <v>17</v>
      </c>
      <c r="G89" s="69">
        <v>175.89</v>
      </c>
      <c r="H89" s="67">
        <v>17</v>
      </c>
      <c r="I89" s="69">
        <v>12.63</v>
      </c>
      <c r="J89" s="67">
        <v>17</v>
      </c>
      <c r="K89" s="68">
        <v>20.45</v>
      </c>
      <c r="L89" s="67">
        <v>17</v>
      </c>
      <c r="M89" s="69"/>
      <c r="N89" s="67">
        <v>17</v>
      </c>
      <c r="O89" s="69"/>
      <c r="P89" s="67">
        <v>17</v>
      </c>
      <c r="Q89" s="69"/>
      <c r="R89" s="67">
        <v>17</v>
      </c>
      <c r="S89" s="69"/>
      <c r="T89" s="67">
        <v>17</v>
      </c>
      <c r="U89" s="68"/>
      <c r="V89" s="67">
        <v>17</v>
      </c>
      <c r="W89" s="69"/>
      <c r="X89" s="67">
        <v>17</v>
      </c>
      <c r="Y89" s="69"/>
      <c r="Z89" s="68">
        <f t="shared" si="47"/>
        <v>341.45</v>
      </c>
      <c r="AA89" s="69">
        <f t="shared" si="60"/>
        <v>380.41999999999996</v>
      </c>
      <c r="AC89" s="69" cm="1">
        <f t="array" aca="1" ref="AC89" ca="1">_xlfn.LET(_xlpm.myRng, OFFSET($B89,0,0,1,2*myMonth-1),
      SUMPRODUCT((MOD(COLUMN(_xlpm.myRng)-COLUMN($B89),2)=0)*_xlpm.myRng)
    )</f>
        <v>222.45</v>
      </c>
      <c r="AD89" s="69">
        <f t="shared" si="26"/>
        <v>380.41999999999996</v>
      </c>
      <c r="AE89" s="93">
        <f t="shared" ca="1" si="28"/>
        <v>-157.96999999999997</v>
      </c>
      <c r="AG89" s="69" cm="1">
        <f t="array" aca="1" ref="AG89" ca="1">_xlfn.LET(_xlpm.myRng, OFFSET($B89,0,2*(myMonth-1),1,1),
      SUMPRODUCT((MOD(COLUMN(_xlpm.myRng)-COLUMN($B89),2)=0)*_xlpm.myRng)
    )</f>
        <v>17</v>
      </c>
      <c r="AH89" s="71" cm="1">
        <f t="array" aca="1" ref="AH89" ca="1">_xlfn.LET(_xlpm.myRng, OFFSET($C89,0,2*(myMonth-1),1,1),
      SUMPRODUCT((MOD(COLUMN(_xlpm.myRng)-COLUMN($C89),2)=0)*_xlpm.myRng)
    )</f>
        <v>20.45</v>
      </c>
      <c r="AI89" s="93">
        <f t="shared" ca="1" si="29"/>
        <v>-3.4499999999999993</v>
      </c>
      <c r="AQ89" s="49"/>
    </row>
    <row r="90" spans="1:43" ht="14.4" x14ac:dyDescent="0.55000000000000004">
      <c r="A90" s="13" t="s">
        <v>204</v>
      </c>
      <c r="B90" s="67"/>
      <c r="C90" s="69"/>
      <c r="D90" s="67"/>
      <c r="E90" s="69"/>
      <c r="F90" s="67"/>
      <c r="G90" s="69"/>
      <c r="H90" s="67"/>
      <c r="I90" s="69"/>
      <c r="J90" s="67"/>
      <c r="K90" s="68"/>
      <c r="L90" s="67"/>
      <c r="M90" s="69"/>
      <c r="N90" s="67"/>
      <c r="O90" s="69"/>
      <c r="P90" s="67"/>
      <c r="Q90" s="69"/>
      <c r="R90" s="67"/>
      <c r="S90" s="69"/>
      <c r="T90" s="67"/>
      <c r="U90" s="68"/>
      <c r="V90" s="67"/>
      <c r="W90" s="69"/>
      <c r="X90" s="67"/>
      <c r="Y90" s="69"/>
      <c r="Z90" s="68">
        <f t="shared" si="47"/>
        <v>0</v>
      </c>
      <c r="AA90" s="69">
        <f t="shared" si="60"/>
        <v>0</v>
      </c>
      <c r="AC90" s="69" cm="1">
        <f t="array" aca="1" ref="AC90" ca="1">_xlfn.LET(_xlpm.myRng, OFFSET($B90,0,0,1,2*myMonth-1),
      SUMPRODUCT((MOD(COLUMN(_xlpm.myRng)-COLUMN($B90),2)=0)*_xlpm.myRng)
    )</f>
        <v>0</v>
      </c>
      <c r="AD90" s="69">
        <f t="shared" si="26"/>
        <v>0</v>
      </c>
      <c r="AE90" s="93">
        <f t="shared" ca="1" si="28"/>
        <v>0</v>
      </c>
      <c r="AG90" s="69" cm="1">
        <f t="array" aca="1" ref="AG90" ca="1">_xlfn.LET(_xlpm.myRng, OFFSET($B90,0,2*(myMonth-1),1,1),
      SUMPRODUCT((MOD(COLUMN(_xlpm.myRng)-COLUMN($B90),2)=0)*_xlpm.myRng)
    )</f>
        <v>0</v>
      </c>
      <c r="AH90" s="71" cm="1">
        <f t="array" aca="1" ref="AH90" ca="1">_xlfn.LET(_xlpm.myRng, OFFSET($C90,0,2*(myMonth-1),1,1),
      SUMPRODUCT((MOD(COLUMN(_xlpm.myRng)-COLUMN($C90),2)=0)*_xlpm.myRng)
    )</f>
        <v>0</v>
      </c>
      <c r="AI90" s="93">
        <f t="shared" ca="1" si="29"/>
        <v>0</v>
      </c>
      <c r="AQ90" s="49"/>
    </row>
    <row r="91" spans="1:43" ht="14.4" x14ac:dyDescent="0.55000000000000004">
      <c r="A91" s="12" t="s">
        <v>205</v>
      </c>
      <c r="B91" s="72">
        <f t="shared" ref="B91:AD91" si="61">SUM(B88:B90)</f>
        <v>0</v>
      </c>
      <c r="C91" s="74">
        <f t="shared" si="61"/>
        <v>0</v>
      </c>
      <c r="D91" s="72">
        <f t="shared" si="61"/>
        <v>171.45</v>
      </c>
      <c r="E91" s="74">
        <f t="shared" si="61"/>
        <v>171.45</v>
      </c>
      <c r="F91" s="72">
        <f t="shared" si="61"/>
        <v>17</v>
      </c>
      <c r="G91" s="74">
        <f t="shared" si="61"/>
        <v>175.89</v>
      </c>
      <c r="H91" s="72">
        <f t="shared" si="61"/>
        <v>17</v>
      </c>
      <c r="I91" s="74">
        <f t="shared" si="61"/>
        <v>12.63</v>
      </c>
      <c r="J91" s="72">
        <f t="shared" si="61"/>
        <v>17</v>
      </c>
      <c r="K91" s="73">
        <f t="shared" si="61"/>
        <v>20.45</v>
      </c>
      <c r="L91" s="72">
        <f t="shared" si="61"/>
        <v>17</v>
      </c>
      <c r="M91" s="74">
        <f t="shared" si="61"/>
        <v>0</v>
      </c>
      <c r="N91" s="72">
        <f t="shared" si="61"/>
        <v>17</v>
      </c>
      <c r="O91" s="74">
        <f t="shared" si="61"/>
        <v>0</v>
      </c>
      <c r="P91" s="72">
        <f t="shared" si="61"/>
        <v>17</v>
      </c>
      <c r="Q91" s="74">
        <f t="shared" si="61"/>
        <v>0</v>
      </c>
      <c r="R91" s="72">
        <f t="shared" si="61"/>
        <v>17</v>
      </c>
      <c r="S91" s="74">
        <f t="shared" si="61"/>
        <v>0</v>
      </c>
      <c r="T91" s="72">
        <f t="shared" si="61"/>
        <v>17</v>
      </c>
      <c r="U91" s="73">
        <f t="shared" si="61"/>
        <v>0</v>
      </c>
      <c r="V91" s="72">
        <f t="shared" si="61"/>
        <v>17</v>
      </c>
      <c r="W91" s="74">
        <f t="shared" si="61"/>
        <v>0</v>
      </c>
      <c r="X91" s="72">
        <f t="shared" si="61"/>
        <v>17</v>
      </c>
      <c r="Y91" s="74">
        <f t="shared" si="61"/>
        <v>0</v>
      </c>
      <c r="Z91" s="73">
        <f t="shared" si="47"/>
        <v>341.45</v>
      </c>
      <c r="AA91" s="74">
        <f t="shared" si="61"/>
        <v>380.41999999999996</v>
      </c>
      <c r="AC91" s="74">
        <f t="shared" ca="1" si="61"/>
        <v>222.45</v>
      </c>
      <c r="AD91" s="74">
        <f t="shared" si="61"/>
        <v>380.41999999999996</v>
      </c>
      <c r="AE91" s="72">
        <f t="shared" ca="1" si="28"/>
        <v>-157.96999999999997</v>
      </c>
      <c r="AG91" s="74">
        <f t="shared" ref="AG91:AH91" ca="1" si="62">SUM(AG88:AG90)</f>
        <v>17</v>
      </c>
      <c r="AH91" s="74">
        <f t="shared" ca="1" si="62"/>
        <v>20.45</v>
      </c>
      <c r="AI91" s="72">
        <f t="shared" ca="1" si="29"/>
        <v>-3.4499999999999993</v>
      </c>
      <c r="AQ91" s="49"/>
    </row>
    <row r="92" spans="1:43" ht="14.4" x14ac:dyDescent="0.55000000000000004">
      <c r="A92" s="13" t="s">
        <v>206</v>
      </c>
      <c r="B92" s="67"/>
      <c r="C92" s="69"/>
      <c r="D92" s="67"/>
      <c r="E92" s="69"/>
      <c r="F92" s="67"/>
      <c r="G92" s="69"/>
      <c r="H92" s="67"/>
      <c r="I92" s="69"/>
      <c r="J92" s="67"/>
      <c r="K92" s="68"/>
      <c r="L92" s="67"/>
      <c r="M92" s="69"/>
      <c r="N92" s="67"/>
      <c r="O92" s="69"/>
      <c r="P92" s="67"/>
      <c r="Q92" s="69"/>
      <c r="R92" s="67"/>
      <c r="S92" s="69"/>
      <c r="T92" s="67"/>
      <c r="U92" s="68"/>
      <c r="V92" s="67"/>
      <c r="W92" s="69"/>
      <c r="X92" s="67"/>
      <c r="Y92" s="69"/>
      <c r="Z92" s="68">
        <f t="shared" si="47"/>
        <v>0</v>
      </c>
      <c r="AA92" s="69">
        <f t="shared" ref="AA92:AA102" si="63">SUM(C92,E92,G92,I92,K92,M92,O92,Q92,S92,U92,W92,Y92)</f>
        <v>0</v>
      </c>
      <c r="AC92" s="69" cm="1">
        <f t="array" aca="1" ref="AC92" ca="1">_xlfn.LET(_xlpm.myRng, OFFSET($B92,0,0,1,2*myMonth-1),
      SUMPRODUCT((MOD(COLUMN(_xlpm.myRng)-COLUMN($B92),2)=0)*_xlpm.myRng)
    )</f>
        <v>0</v>
      </c>
      <c r="AD92" s="69">
        <f t="shared" si="26"/>
        <v>0</v>
      </c>
      <c r="AE92" s="93">
        <f t="shared" ca="1" si="28"/>
        <v>0</v>
      </c>
      <c r="AG92" s="69" cm="1">
        <f t="array" aca="1" ref="AG92" ca="1">_xlfn.LET(_xlpm.myRng, OFFSET($B92,0,2*(myMonth-1),1,1),
      SUMPRODUCT((MOD(COLUMN(_xlpm.myRng)-COLUMN($B92),2)=0)*_xlpm.myRng)
    )</f>
        <v>0</v>
      </c>
      <c r="AH92" s="71" cm="1">
        <f t="array" aca="1" ref="AH92" ca="1">_xlfn.LET(_xlpm.myRng, OFFSET($C92,0,2*(myMonth-1),1,1),
      SUMPRODUCT((MOD(COLUMN(_xlpm.myRng)-COLUMN($C92),2)=0)*_xlpm.myRng)
    )</f>
        <v>0</v>
      </c>
      <c r="AI92" s="93">
        <f t="shared" ca="1" si="29"/>
        <v>0</v>
      </c>
      <c r="AQ92" s="49"/>
    </row>
    <row r="93" spans="1:43" ht="14.4" x14ac:dyDescent="0.55000000000000004">
      <c r="A93" s="13" t="s">
        <v>207</v>
      </c>
      <c r="B93" s="67"/>
      <c r="C93" s="69"/>
      <c r="D93" s="67"/>
      <c r="E93" s="69"/>
      <c r="F93" s="67"/>
      <c r="G93" s="69"/>
      <c r="H93" s="67"/>
      <c r="I93" s="69"/>
      <c r="J93" s="67"/>
      <c r="K93" s="68"/>
      <c r="L93" s="67"/>
      <c r="M93" s="69"/>
      <c r="N93" s="67"/>
      <c r="O93" s="69"/>
      <c r="P93" s="67"/>
      <c r="Q93" s="69"/>
      <c r="R93" s="67"/>
      <c r="S93" s="69"/>
      <c r="T93" s="67"/>
      <c r="U93" s="68"/>
      <c r="V93" s="67"/>
      <c r="W93" s="69"/>
      <c r="X93" s="67"/>
      <c r="Y93" s="69"/>
      <c r="Z93" s="68">
        <f t="shared" si="47"/>
        <v>0</v>
      </c>
      <c r="AA93" s="69">
        <f t="shared" si="63"/>
        <v>0</v>
      </c>
      <c r="AC93" s="69" cm="1">
        <f t="array" aca="1" ref="AC93" ca="1">_xlfn.LET(_xlpm.myRng, OFFSET($B93,0,0,1,2*myMonth-1),
      SUMPRODUCT((MOD(COLUMN(_xlpm.myRng)-COLUMN($B93),2)=0)*_xlpm.myRng)
    )</f>
        <v>0</v>
      </c>
      <c r="AD93" s="69">
        <f t="shared" si="26"/>
        <v>0</v>
      </c>
      <c r="AE93" s="93">
        <f t="shared" ca="1" si="28"/>
        <v>0</v>
      </c>
      <c r="AG93" s="69" cm="1">
        <f t="array" aca="1" ref="AG93" ca="1">_xlfn.LET(_xlpm.myRng, OFFSET($B93,0,2*(myMonth-1),1,1),
      SUMPRODUCT((MOD(COLUMN(_xlpm.myRng)-COLUMN($B93),2)=0)*_xlpm.myRng)
    )</f>
        <v>0</v>
      </c>
      <c r="AH93" s="71" cm="1">
        <f t="array" aca="1" ref="AH93" ca="1">_xlfn.LET(_xlpm.myRng, OFFSET($C93,0,2*(myMonth-1),1,1),
      SUMPRODUCT((MOD(COLUMN(_xlpm.myRng)-COLUMN($C93),2)=0)*_xlpm.myRng)
    )</f>
        <v>0</v>
      </c>
      <c r="AI93" s="93">
        <f t="shared" ca="1" si="29"/>
        <v>0</v>
      </c>
      <c r="AQ93" s="49"/>
    </row>
    <row r="94" spans="1:43" ht="14.4" x14ac:dyDescent="0.55000000000000004">
      <c r="A94" s="13" t="s">
        <v>208</v>
      </c>
      <c r="B94" s="67"/>
      <c r="C94" s="69"/>
      <c r="D94" s="67"/>
      <c r="E94" s="69"/>
      <c r="F94" s="67"/>
      <c r="G94" s="69"/>
      <c r="H94" s="67"/>
      <c r="I94" s="69"/>
      <c r="J94" s="67"/>
      <c r="K94" s="68"/>
      <c r="L94" s="67"/>
      <c r="M94" s="69"/>
      <c r="N94" s="67"/>
      <c r="O94" s="69"/>
      <c r="P94" s="67"/>
      <c r="Q94" s="69"/>
      <c r="R94" s="67"/>
      <c r="S94" s="69"/>
      <c r="T94" s="67"/>
      <c r="U94" s="68"/>
      <c r="V94" s="67"/>
      <c r="W94" s="69"/>
      <c r="X94" s="67"/>
      <c r="Y94" s="69"/>
      <c r="Z94" s="68">
        <f t="shared" si="47"/>
        <v>0</v>
      </c>
      <c r="AA94" s="69">
        <f t="shared" si="63"/>
        <v>0</v>
      </c>
      <c r="AC94" s="69" cm="1">
        <f t="array" aca="1" ref="AC94" ca="1">_xlfn.LET(_xlpm.myRng, OFFSET($B94,0,0,1,2*myMonth-1),
      SUMPRODUCT((MOD(COLUMN(_xlpm.myRng)-COLUMN($B94),2)=0)*_xlpm.myRng)
    )</f>
        <v>0</v>
      </c>
      <c r="AD94" s="69">
        <f t="shared" si="26"/>
        <v>0</v>
      </c>
      <c r="AE94" s="93">
        <f t="shared" ca="1" si="28"/>
        <v>0</v>
      </c>
      <c r="AG94" s="69" cm="1">
        <f t="array" aca="1" ref="AG94" ca="1">_xlfn.LET(_xlpm.myRng, OFFSET($B94,0,2*(myMonth-1),1,1),
      SUMPRODUCT((MOD(COLUMN(_xlpm.myRng)-COLUMN($B94),2)=0)*_xlpm.myRng)
    )</f>
        <v>0</v>
      </c>
      <c r="AH94" s="71" cm="1">
        <f t="array" aca="1" ref="AH94" ca="1">_xlfn.LET(_xlpm.myRng, OFFSET($C94,0,2*(myMonth-1),1,1),
      SUMPRODUCT((MOD(COLUMN(_xlpm.myRng)-COLUMN($C94),2)=0)*_xlpm.myRng)
    )</f>
        <v>0</v>
      </c>
      <c r="AI94" s="93">
        <f t="shared" ca="1" si="29"/>
        <v>0</v>
      </c>
      <c r="AQ94" s="49"/>
    </row>
    <row r="95" spans="1:43" ht="14.4" x14ac:dyDescent="0.55000000000000004">
      <c r="A95" s="13" t="s">
        <v>209</v>
      </c>
      <c r="B95" s="67"/>
      <c r="C95" s="69"/>
      <c r="D95" s="67">
        <v>650</v>
      </c>
      <c r="E95" s="69">
        <v>766.87</v>
      </c>
      <c r="F95" s="67"/>
      <c r="G95" s="69"/>
      <c r="H95" s="67"/>
      <c r="I95" s="69"/>
      <c r="J95" s="67"/>
      <c r="K95" s="68"/>
      <c r="L95" s="67"/>
      <c r="M95" s="69"/>
      <c r="N95" s="67"/>
      <c r="O95" s="69"/>
      <c r="P95" s="67"/>
      <c r="Q95" s="69"/>
      <c r="R95" s="67"/>
      <c r="S95" s="69"/>
      <c r="T95" s="67"/>
      <c r="U95" s="68"/>
      <c r="V95" s="67"/>
      <c r="W95" s="69"/>
      <c r="X95" s="67"/>
      <c r="Y95" s="69"/>
      <c r="Z95" s="68">
        <f t="shared" si="47"/>
        <v>650</v>
      </c>
      <c r="AA95" s="69">
        <f t="shared" si="63"/>
        <v>766.87</v>
      </c>
      <c r="AC95" s="69" cm="1">
        <f t="array" aca="1" ref="AC95" ca="1">_xlfn.LET(_xlpm.myRng, OFFSET($B95,0,0,1,2*myMonth-1),
      SUMPRODUCT((MOD(COLUMN(_xlpm.myRng)-COLUMN($B95),2)=0)*_xlpm.myRng)
    )</f>
        <v>650</v>
      </c>
      <c r="AD95" s="69">
        <f t="shared" si="26"/>
        <v>766.87</v>
      </c>
      <c r="AE95" s="93">
        <f t="shared" ca="1" si="28"/>
        <v>-116.87</v>
      </c>
      <c r="AG95" s="69" cm="1">
        <f t="array" aca="1" ref="AG95" ca="1">_xlfn.LET(_xlpm.myRng, OFFSET($B95,0,2*(myMonth-1),1,1),
      SUMPRODUCT((MOD(COLUMN(_xlpm.myRng)-COLUMN($B95),2)=0)*_xlpm.myRng)
    )</f>
        <v>0</v>
      </c>
      <c r="AH95" s="71" cm="1">
        <f t="array" aca="1" ref="AH95" ca="1">_xlfn.LET(_xlpm.myRng, OFFSET($C95,0,2*(myMonth-1),1,1),
      SUMPRODUCT((MOD(COLUMN(_xlpm.myRng)-COLUMN($C95),2)=0)*_xlpm.myRng)
    )</f>
        <v>0</v>
      </c>
      <c r="AI95" s="93">
        <f t="shared" ca="1" si="29"/>
        <v>0</v>
      </c>
      <c r="AJ95" s="36" t="s">
        <v>210</v>
      </c>
      <c r="AQ95" s="49"/>
    </row>
    <row r="96" spans="1:43" ht="14.4" x14ac:dyDescent="0.55000000000000004">
      <c r="A96" s="13" t="s">
        <v>211</v>
      </c>
      <c r="B96" s="67">
        <v>575</v>
      </c>
      <c r="C96" s="69">
        <v>575</v>
      </c>
      <c r="D96" s="67">
        <v>2925</v>
      </c>
      <c r="E96" s="69">
        <v>2243.87</v>
      </c>
      <c r="F96" s="67"/>
      <c r="G96" s="69"/>
      <c r="H96" s="67"/>
      <c r="I96" s="69"/>
      <c r="J96" s="67"/>
      <c r="K96" s="68"/>
      <c r="L96" s="67"/>
      <c r="M96" s="69"/>
      <c r="N96" s="67"/>
      <c r="O96" s="69"/>
      <c r="P96" s="67"/>
      <c r="Q96" s="69"/>
      <c r="R96" s="67"/>
      <c r="S96" s="69"/>
      <c r="T96" s="67"/>
      <c r="U96" s="68"/>
      <c r="V96" s="67"/>
      <c r="W96" s="69"/>
      <c r="X96" s="67"/>
      <c r="Y96" s="69"/>
      <c r="Z96" s="68">
        <f t="shared" si="47"/>
        <v>3500</v>
      </c>
      <c r="AA96" s="69">
        <f t="shared" si="63"/>
        <v>2818.87</v>
      </c>
      <c r="AC96" s="69" cm="1">
        <f t="array" aca="1" ref="AC96" ca="1">_xlfn.LET(_xlpm.myRng, OFFSET($B96,0,0,1,2*myMonth-1),
      SUMPRODUCT((MOD(COLUMN(_xlpm.myRng)-COLUMN($B96),2)=0)*_xlpm.myRng)
    )</f>
        <v>3500</v>
      </c>
      <c r="AD96" s="69">
        <f t="shared" si="26"/>
        <v>2818.87</v>
      </c>
      <c r="AE96" s="93">
        <f t="shared" ca="1" si="28"/>
        <v>681.13000000000011</v>
      </c>
      <c r="AG96" s="69" cm="1">
        <f t="array" aca="1" ref="AG96" ca="1">_xlfn.LET(_xlpm.myRng, OFFSET($B96,0,2*(myMonth-1),1,1),
      SUMPRODUCT((MOD(COLUMN(_xlpm.myRng)-COLUMN($B96),2)=0)*_xlpm.myRng)
    )</f>
        <v>0</v>
      </c>
      <c r="AH96" s="71" cm="1">
        <f t="array" aca="1" ref="AH96" ca="1">_xlfn.LET(_xlpm.myRng, OFFSET($C96,0,2*(myMonth-1),1,1),
      SUMPRODUCT((MOD(COLUMN(_xlpm.myRng)-COLUMN($C96),2)=0)*_xlpm.myRng)
    )</f>
        <v>0</v>
      </c>
      <c r="AI96" s="93">
        <f t="shared" ca="1" si="29"/>
        <v>0</v>
      </c>
      <c r="AJ96" s="36" t="s">
        <v>212</v>
      </c>
      <c r="AQ96" s="49"/>
    </row>
    <row r="97" spans="1:43" ht="14.4" x14ac:dyDescent="0.55000000000000004">
      <c r="A97" s="13" t="s">
        <v>213</v>
      </c>
      <c r="B97" s="67"/>
      <c r="C97" s="69"/>
      <c r="D97" s="67">
        <v>425</v>
      </c>
      <c r="E97" s="69">
        <v>425</v>
      </c>
      <c r="F97" s="67"/>
      <c r="G97" s="69"/>
      <c r="H97" s="67"/>
      <c r="I97" s="69"/>
      <c r="J97" s="67"/>
      <c r="K97" s="68"/>
      <c r="L97" s="67"/>
      <c r="M97" s="69"/>
      <c r="N97" s="67"/>
      <c r="O97" s="69"/>
      <c r="P97" s="67"/>
      <c r="Q97" s="69"/>
      <c r="R97" s="67"/>
      <c r="S97" s="69"/>
      <c r="T97" s="67"/>
      <c r="U97" s="68"/>
      <c r="V97" s="67"/>
      <c r="W97" s="69"/>
      <c r="X97" s="67"/>
      <c r="Y97" s="69"/>
      <c r="Z97" s="68">
        <f t="shared" si="47"/>
        <v>425</v>
      </c>
      <c r="AA97" s="69">
        <f t="shared" si="63"/>
        <v>425</v>
      </c>
      <c r="AC97" s="69" cm="1">
        <f t="array" aca="1" ref="AC97" ca="1">_xlfn.LET(_xlpm.myRng, OFFSET($B97,0,0,1,2*myMonth-1),
      SUMPRODUCT((MOD(COLUMN(_xlpm.myRng)-COLUMN($B97),2)=0)*_xlpm.myRng)
    )</f>
        <v>425</v>
      </c>
      <c r="AD97" s="69">
        <f t="shared" si="26"/>
        <v>425</v>
      </c>
      <c r="AE97" s="93">
        <f t="shared" ca="1" si="28"/>
        <v>0</v>
      </c>
      <c r="AG97" s="69" cm="1">
        <f t="array" aca="1" ref="AG97" ca="1">_xlfn.LET(_xlpm.myRng, OFFSET($B97,0,2*(myMonth-1),1,1),
      SUMPRODUCT((MOD(COLUMN(_xlpm.myRng)-COLUMN($B97),2)=0)*_xlpm.myRng)
    )</f>
        <v>0</v>
      </c>
      <c r="AH97" s="71" cm="1">
        <f t="array" aca="1" ref="AH97" ca="1">_xlfn.LET(_xlpm.myRng, OFFSET($C97,0,2*(myMonth-1),1,1),
      SUMPRODUCT((MOD(COLUMN(_xlpm.myRng)-COLUMN($C97),2)=0)*_xlpm.myRng)
    )</f>
        <v>0</v>
      </c>
      <c r="AI97" s="93">
        <f t="shared" ca="1" si="29"/>
        <v>0</v>
      </c>
      <c r="AJ97" s="36" t="s">
        <v>214</v>
      </c>
      <c r="AQ97" s="49"/>
    </row>
    <row r="98" spans="1:43" ht="14.4" x14ac:dyDescent="0.55000000000000004">
      <c r="A98" s="13" t="s">
        <v>215</v>
      </c>
      <c r="B98" s="67"/>
      <c r="C98" s="69"/>
      <c r="D98" s="67"/>
      <c r="E98" s="69"/>
      <c r="F98" s="67"/>
      <c r="G98" s="69"/>
      <c r="H98" s="67"/>
      <c r="I98" s="69"/>
      <c r="J98" s="67"/>
      <c r="K98" s="68"/>
      <c r="L98" s="67"/>
      <c r="M98" s="69"/>
      <c r="N98" s="67"/>
      <c r="O98" s="69"/>
      <c r="P98" s="67"/>
      <c r="Q98" s="69"/>
      <c r="R98" s="67"/>
      <c r="S98" s="69"/>
      <c r="T98" s="67"/>
      <c r="U98" s="68"/>
      <c r="V98" s="67"/>
      <c r="W98" s="69"/>
      <c r="X98" s="67"/>
      <c r="Y98" s="69"/>
      <c r="Z98" s="68">
        <f t="shared" si="47"/>
        <v>0</v>
      </c>
      <c r="AA98" s="69">
        <f t="shared" si="63"/>
        <v>0</v>
      </c>
      <c r="AC98" s="69" cm="1">
        <f t="array" aca="1" ref="AC98" ca="1">_xlfn.LET(_xlpm.myRng, OFFSET($B98,0,0,1,2*myMonth-1),
      SUMPRODUCT((MOD(COLUMN(_xlpm.myRng)-COLUMN($B98),2)=0)*_xlpm.myRng)
    )</f>
        <v>0</v>
      </c>
      <c r="AD98" s="69">
        <f t="shared" si="26"/>
        <v>0</v>
      </c>
      <c r="AE98" s="93">
        <f t="shared" ca="1" si="28"/>
        <v>0</v>
      </c>
      <c r="AG98" s="69" cm="1">
        <f t="array" aca="1" ref="AG98" ca="1">_xlfn.LET(_xlpm.myRng, OFFSET($B98,0,2*(myMonth-1),1,1),
      SUMPRODUCT((MOD(COLUMN(_xlpm.myRng)-COLUMN($B98),2)=0)*_xlpm.myRng)
    )</f>
        <v>0</v>
      </c>
      <c r="AH98" s="71" cm="1">
        <f t="array" aca="1" ref="AH98" ca="1">_xlfn.LET(_xlpm.myRng, OFFSET($C98,0,2*(myMonth-1),1,1),
      SUMPRODUCT((MOD(COLUMN(_xlpm.myRng)-COLUMN($C98),2)=0)*_xlpm.myRng)
    )</f>
        <v>0</v>
      </c>
      <c r="AI98" s="93">
        <f t="shared" ca="1" si="29"/>
        <v>0</v>
      </c>
      <c r="AQ98" s="49"/>
    </row>
    <row r="99" spans="1:43" ht="14.4" x14ac:dyDescent="0.55000000000000004">
      <c r="A99" s="13" t="s">
        <v>216</v>
      </c>
      <c r="B99" s="67"/>
      <c r="C99" s="69"/>
      <c r="D99" s="67">
        <v>150</v>
      </c>
      <c r="E99" s="69"/>
      <c r="F99" s="67">
        <v>150</v>
      </c>
      <c r="G99" s="69"/>
      <c r="H99" s="67"/>
      <c r="I99" s="69"/>
      <c r="J99" s="67"/>
      <c r="K99" s="68"/>
      <c r="L99" s="67"/>
      <c r="M99" s="69"/>
      <c r="N99" s="67"/>
      <c r="O99" s="69"/>
      <c r="P99" s="67"/>
      <c r="Q99" s="69"/>
      <c r="R99" s="67"/>
      <c r="S99" s="69"/>
      <c r="T99" s="67"/>
      <c r="U99" s="68"/>
      <c r="V99" s="67"/>
      <c r="W99" s="69"/>
      <c r="X99" s="67"/>
      <c r="Y99" s="69"/>
      <c r="Z99" s="68">
        <f t="shared" si="47"/>
        <v>300</v>
      </c>
      <c r="AA99" s="69">
        <f t="shared" si="63"/>
        <v>0</v>
      </c>
      <c r="AC99" s="69" cm="1">
        <f t="array" aca="1" ref="AC99" ca="1">_xlfn.LET(_xlpm.myRng, OFFSET($B99,0,0,1,2*myMonth-1),
      SUMPRODUCT((MOD(COLUMN(_xlpm.myRng)-COLUMN($B99),2)=0)*_xlpm.myRng)
    )</f>
        <v>300</v>
      </c>
      <c r="AD99" s="69">
        <f t="shared" si="26"/>
        <v>0</v>
      </c>
      <c r="AE99" s="93">
        <f t="shared" ca="1" si="28"/>
        <v>300</v>
      </c>
      <c r="AG99" s="69" cm="1">
        <f t="array" aca="1" ref="AG99" ca="1">_xlfn.LET(_xlpm.myRng, OFFSET($B99,0,2*(myMonth-1),1,1),
      SUMPRODUCT((MOD(COLUMN(_xlpm.myRng)-COLUMN($B99),2)=0)*_xlpm.myRng)
    )</f>
        <v>0</v>
      </c>
      <c r="AH99" s="71" cm="1">
        <f t="array" aca="1" ref="AH99" ca="1">_xlfn.LET(_xlpm.myRng, OFFSET($C99,0,2*(myMonth-1),1,1),
      SUMPRODUCT((MOD(COLUMN(_xlpm.myRng)-COLUMN($C99),2)=0)*_xlpm.myRng)
    )</f>
        <v>0</v>
      </c>
      <c r="AI99" s="93">
        <f t="shared" ca="1" si="29"/>
        <v>0</v>
      </c>
      <c r="AQ99" s="49"/>
    </row>
    <row r="100" spans="1:43" ht="14.4" x14ac:dyDescent="0.55000000000000004">
      <c r="A100" s="12" t="s">
        <v>217</v>
      </c>
      <c r="B100" s="72">
        <f t="shared" ref="B100" si="64">SUM(B92:B99)</f>
        <v>575</v>
      </c>
      <c r="C100" s="74">
        <f t="shared" ref="C100:AD100" si="65">SUM(C92:C99)</f>
        <v>575</v>
      </c>
      <c r="D100" s="72">
        <f t="shared" si="65"/>
        <v>4150</v>
      </c>
      <c r="E100" s="74">
        <f t="shared" si="65"/>
        <v>3435.74</v>
      </c>
      <c r="F100" s="72">
        <f t="shared" si="65"/>
        <v>150</v>
      </c>
      <c r="G100" s="74">
        <f t="shared" si="65"/>
        <v>0</v>
      </c>
      <c r="H100" s="72">
        <f t="shared" si="65"/>
        <v>0</v>
      </c>
      <c r="I100" s="74">
        <f t="shared" si="65"/>
        <v>0</v>
      </c>
      <c r="J100" s="72">
        <f t="shared" si="65"/>
        <v>0</v>
      </c>
      <c r="K100" s="73">
        <f t="shared" si="65"/>
        <v>0</v>
      </c>
      <c r="L100" s="72">
        <f t="shared" si="65"/>
        <v>0</v>
      </c>
      <c r="M100" s="74">
        <f t="shared" si="65"/>
        <v>0</v>
      </c>
      <c r="N100" s="72">
        <f t="shared" si="65"/>
        <v>0</v>
      </c>
      <c r="O100" s="74">
        <f t="shared" si="65"/>
        <v>0</v>
      </c>
      <c r="P100" s="72">
        <f t="shared" si="65"/>
        <v>0</v>
      </c>
      <c r="Q100" s="74">
        <f t="shared" si="65"/>
        <v>0</v>
      </c>
      <c r="R100" s="72">
        <f t="shared" si="65"/>
        <v>0</v>
      </c>
      <c r="S100" s="74">
        <f t="shared" si="65"/>
        <v>0</v>
      </c>
      <c r="T100" s="72">
        <f t="shared" si="65"/>
        <v>0</v>
      </c>
      <c r="U100" s="73">
        <f t="shared" si="65"/>
        <v>0</v>
      </c>
      <c r="V100" s="72">
        <f t="shared" si="65"/>
        <v>0</v>
      </c>
      <c r="W100" s="74">
        <f t="shared" si="65"/>
        <v>0</v>
      </c>
      <c r="X100" s="72">
        <f t="shared" si="65"/>
        <v>0</v>
      </c>
      <c r="Y100" s="74">
        <f t="shared" si="65"/>
        <v>0</v>
      </c>
      <c r="Z100" s="73">
        <f t="shared" si="47"/>
        <v>4875</v>
      </c>
      <c r="AA100" s="74">
        <f t="shared" si="65"/>
        <v>4010.74</v>
      </c>
      <c r="AC100" s="125">
        <f t="shared" ca="1" si="65"/>
        <v>4875</v>
      </c>
      <c r="AD100" s="74">
        <f t="shared" si="65"/>
        <v>4010.74</v>
      </c>
      <c r="AE100" s="72">
        <f t="shared" ca="1" si="28"/>
        <v>864.26000000000022</v>
      </c>
      <c r="AG100" s="125">
        <f t="shared" ref="AG100:AH100" ca="1" si="66">SUM(AG92:AG99)</f>
        <v>0</v>
      </c>
      <c r="AH100" s="74">
        <f t="shared" ca="1" si="66"/>
        <v>0</v>
      </c>
      <c r="AI100" s="72">
        <f t="shared" ca="1" si="29"/>
        <v>0</v>
      </c>
      <c r="AQ100" s="49"/>
    </row>
    <row r="101" spans="1:43" ht="14.4" x14ac:dyDescent="0.55000000000000004">
      <c r="A101" s="13" t="s">
        <v>218</v>
      </c>
      <c r="B101" s="67"/>
      <c r="C101" s="69"/>
      <c r="D101" s="67">
        <v>150</v>
      </c>
      <c r="E101" s="69"/>
      <c r="F101" s="67">
        <v>150</v>
      </c>
      <c r="G101" s="69">
        <v>300</v>
      </c>
      <c r="H101" s="67"/>
      <c r="I101" s="69"/>
      <c r="J101" s="67"/>
      <c r="K101" s="68"/>
      <c r="L101" s="67"/>
      <c r="M101" s="69"/>
      <c r="N101" s="67"/>
      <c r="O101" s="69"/>
      <c r="P101" s="67"/>
      <c r="Q101" s="69"/>
      <c r="R101" s="67"/>
      <c r="S101" s="69"/>
      <c r="T101" s="67"/>
      <c r="U101" s="68"/>
      <c r="V101" s="67"/>
      <c r="W101" s="69"/>
      <c r="X101" s="67"/>
      <c r="Y101" s="69"/>
      <c r="Z101" s="68">
        <f>SUM($B101,$D101,$F101,$H101,$J101,$L101,$N101,$P101,$R101,$T101,$V101,$X101)</f>
        <v>300</v>
      </c>
      <c r="AA101" s="69">
        <f>SUM(C101,E101,G101,I101,K101,M101,O101,Q101,S101,U101,W101,Y101)</f>
        <v>300</v>
      </c>
      <c r="AC101" s="69" cm="1">
        <f t="array" aca="1" ref="AC101" ca="1">_xlfn.LET(_xlpm.myRng, OFFSET($B101,0,0,1,2*myMonth-1),
      SUMPRODUCT((MOD(COLUMN(_xlpm.myRng)-COLUMN($B101),2)=0)*_xlpm.myRng)
    )</f>
        <v>300</v>
      </c>
      <c r="AD101" s="69">
        <f>SUM(C101,E101,G101,I101,K101,M101,O101,Q101,S101,U101,W101)</f>
        <v>300</v>
      </c>
      <c r="AE101" s="93">
        <f ca="1">AC101-AD101</f>
        <v>0</v>
      </c>
      <c r="AG101" s="69" cm="1">
        <f t="array" aca="1" ref="AG101" ca="1">_xlfn.LET(_xlpm.myRng, OFFSET($B101,0,2*(myMonth-1),1,1),
      SUMPRODUCT((MOD(COLUMN(_xlpm.myRng)-COLUMN($B101),2)=0)*_xlpm.myRng)
    )</f>
        <v>0</v>
      </c>
      <c r="AH101" s="71" cm="1">
        <f t="array" aca="1" ref="AH101" ca="1">_xlfn.LET(_xlpm.myRng, OFFSET($C101,0,2*(myMonth-1),1,1),
      SUMPRODUCT((MOD(COLUMN(_xlpm.myRng)-COLUMN($C101),2)=0)*_xlpm.myRng)
    )</f>
        <v>0</v>
      </c>
      <c r="AI101" s="93">
        <f ca="1">AG101-AH101</f>
        <v>0</v>
      </c>
      <c r="AJ101" s="36" t="s">
        <v>219</v>
      </c>
      <c r="AQ101" s="49"/>
    </row>
    <row r="102" spans="1:43" ht="14.4" x14ac:dyDescent="0.55000000000000004">
      <c r="A102" s="13" t="s">
        <v>220</v>
      </c>
      <c r="B102" s="67">
        <v>600</v>
      </c>
      <c r="C102" s="69">
        <v>600</v>
      </c>
      <c r="D102" s="67"/>
      <c r="E102" s="69"/>
      <c r="F102" s="67"/>
      <c r="G102" s="69"/>
      <c r="H102" s="67"/>
      <c r="I102" s="69"/>
      <c r="J102" s="67"/>
      <c r="K102" s="68"/>
      <c r="L102" s="67"/>
      <c r="M102" s="69"/>
      <c r="N102" s="67"/>
      <c r="O102" s="69"/>
      <c r="P102" s="67"/>
      <c r="Q102" s="69"/>
      <c r="R102" s="67"/>
      <c r="S102" s="69"/>
      <c r="T102" s="67"/>
      <c r="U102" s="68"/>
      <c r="V102" s="67"/>
      <c r="W102" s="69"/>
      <c r="X102" s="67"/>
      <c r="Y102" s="69"/>
      <c r="Z102" s="68">
        <f t="shared" si="47"/>
        <v>600</v>
      </c>
      <c r="AA102" s="69">
        <f t="shared" si="63"/>
        <v>600</v>
      </c>
      <c r="AC102" s="69" cm="1">
        <f t="array" aca="1" ref="AC102" ca="1">_xlfn.LET(_xlpm.myRng, OFFSET($B102,0,0,1,2*myMonth-1),
      SUMPRODUCT((MOD(COLUMN(_xlpm.myRng)-COLUMN($B102),2)=0)*_xlpm.myRng)
    )</f>
        <v>600</v>
      </c>
      <c r="AD102" s="69">
        <f t="shared" si="26"/>
        <v>600</v>
      </c>
      <c r="AE102" s="93">
        <f ca="1">AC102-AD102</f>
        <v>0</v>
      </c>
      <c r="AG102" s="69" cm="1">
        <f t="array" aca="1" ref="AG102" ca="1">_xlfn.LET(_xlpm.myRng, OFFSET($B102,0,2*(myMonth-1),1,1),
      SUMPRODUCT((MOD(COLUMN(_xlpm.myRng)-COLUMN($B102),2)=0)*_xlpm.myRng)
    )</f>
        <v>0</v>
      </c>
      <c r="AH102" s="71" cm="1">
        <f t="array" aca="1" ref="AH102" ca="1">_xlfn.LET(_xlpm.myRng, OFFSET($C102,0,2*(myMonth-1),1,1),
      SUMPRODUCT((MOD(COLUMN(_xlpm.myRng)-COLUMN($C102),2)=0)*_xlpm.myRng)
    )</f>
        <v>0</v>
      </c>
      <c r="AI102" s="93"/>
      <c r="AJ102" s="36" t="s">
        <v>221</v>
      </c>
      <c r="AQ102" s="49"/>
    </row>
    <row r="103" spans="1:43" ht="14.4" x14ac:dyDescent="0.55000000000000004">
      <c r="A103" s="12" t="s">
        <v>222</v>
      </c>
      <c r="B103" s="72">
        <f t="shared" ref="B103:AA103" si="67">B100+B102+B101</f>
        <v>1175</v>
      </c>
      <c r="C103" s="74">
        <f t="shared" si="67"/>
        <v>1175</v>
      </c>
      <c r="D103" s="72">
        <f t="shared" si="67"/>
        <v>4300</v>
      </c>
      <c r="E103" s="74">
        <f t="shared" si="67"/>
        <v>3435.74</v>
      </c>
      <c r="F103" s="72">
        <f t="shared" si="67"/>
        <v>300</v>
      </c>
      <c r="G103" s="74">
        <f t="shared" si="67"/>
        <v>300</v>
      </c>
      <c r="H103" s="72">
        <f t="shared" si="67"/>
        <v>0</v>
      </c>
      <c r="I103" s="74">
        <f t="shared" si="67"/>
        <v>0</v>
      </c>
      <c r="J103" s="72">
        <f t="shared" si="67"/>
        <v>0</v>
      </c>
      <c r="K103" s="73">
        <f t="shared" si="67"/>
        <v>0</v>
      </c>
      <c r="L103" s="72">
        <f t="shared" si="67"/>
        <v>0</v>
      </c>
      <c r="M103" s="74">
        <f t="shared" si="67"/>
        <v>0</v>
      </c>
      <c r="N103" s="72">
        <f t="shared" si="67"/>
        <v>0</v>
      </c>
      <c r="O103" s="74">
        <f t="shared" si="67"/>
        <v>0</v>
      </c>
      <c r="P103" s="72">
        <f t="shared" si="67"/>
        <v>0</v>
      </c>
      <c r="Q103" s="74">
        <f t="shared" si="67"/>
        <v>0</v>
      </c>
      <c r="R103" s="72">
        <f t="shared" si="67"/>
        <v>0</v>
      </c>
      <c r="S103" s="74">
        <f t="shared" si="67"/>
        <v>0</v>
      </c>
      <c r="T103" s="72">
        <f t="shared" si="67"/>
        <v>0</v>
      </c>
      <c r="U103" s="73">
        <f t="shared" si="67"/>
        <v>0</v>
      </c>
      <c r="V103" s="72">
        <f t="shared" si="67"/>
        <v>0</v>
      </c>
      <c r="W103" s="74">
        <f t="shared" si="67"/>
        <v>0</v>
      </c>
      <c r="X103" s="72">
        <f t="shared" si="67"/>
        <v>0</v>
      </c>
      <c r="Y103" s="74">
        <f t="shared" si="67"/>
        <v>0</v>
      </c>
      <c r="Z103" s="73">
        <f t="shared" si="67"/>
        <v>5775</v>
      </c>
      <c r="AA103" s="74">
        <f t="shared" si="67"/>
        <v>4910.74</v>
      </c>
      <c r="AC103" s="74">
        <f ca="1">AC100+AC102+AC101</f>
        <v>5775</v>
      </c>
      <c r="AD103" s="74">
        <f>AD100+AD102+AD101</f>
        <v>4910.74</v>
      </c>
      <c r="AE103" s="72">
        <f t="shared" ca="1" si="28"/>
        <v>864.26000000000022</v>
      </c>
      <c r="AG103" s="74">
        <f ca="1">AG100+AG102+AG101</f>
        <v>0</v>
      </c>
      <c r="AH103" s="74">
        <f ca="1">AH100+AH102+AH101</f>
        <v>0</v>
      </c>
      <c r="AI103" s="72">
        <f t="shared" ref="AI103:AI113" ca="1" si="68">AG103-AH103</f>
        <v>0</v>
      </c>
      <c r="AQ103" s="49"/>
    </row>
    <row r="104" spans="1:43" ht="14.4" x14ac:dyDescent="0.55000000000000004">
      <c r="A104" s="13" t="s">
        <v>223</v>
      </c>
      <c r="B104" s="67"/>
      <c r="C104" s="69"/>
      <c r="D104" s="67"/>
      <c r="E104" s="69"/>
      <c r="F104" s="67"/>
      <c r="G104" s="69"/>
      <c r="H104" s="67"/>
      <c r="I104" s="69"/>
      <c r="J104" s="67"/>
      <c r="K104" s="68"/>
      <c r="L104" s="67"/>
      <c r="M104" s="69"/>
      <c r="N104" s="67"/>
      <c r="O104" s="69"/>
      <c r="P104" s="67"/>
      <c r="Q104" s="69"/>
      <c r="R104" s="67"/>
      <c r="S104" s="69"/>
      <c r="T104" s="67"/>
      <c r="U104" s="68"/>
      <c r="V104" s="67"/>
      <c r="W104" s="69"/>
      <c r="X104" s="67"/>
      <c r="Y104" s="69"/>
      <c r="Z104" s="68">
        <f t="shared" si="47"/>
        <v>0</v>
      </c>
      <c r="AA104" s="69">
        <f t="shared" ref="AA104:AA106" si="69">SUM(C104,E104,G104,I104,K104,M104,O104,Q104,S104,U104,W104,Y104)</f>
        <v>0</v>
      </c>
      <c r="AC104" s="69" cm="1">
        <f t="array" aca="1" ref="AC104" ca="1">_xlfn.LET(_xlpm.myRng, OFFSET($B104,0,0,1,2*myMonth-1),
      SUMPRODUCT((MOD(COLUMN(_xlpm.myRng)-COLUMN($B104),2)=0)*_xlpm.myRng)
    )</f>
        <v>0</v>
      </c>
      <c r="AD104" s="69">
        <f t="shared" ref="AD104:AD111" si="70">SUM(C104,E104,G104,I104,K104,M104,O104,Q104,S104,U104,W104)</f>
        <v>0</v>
      </c>
      <c r="AE104" s="93">
        <f t="shared" ref="AE104:AE113" ca="1" si="71">AC104-AD104</f>
        <v>0</v>
      </c>
      <c r="AG104" s="69" cm="1">
        <f t="array" aca="1" ref="AG104" ca="1">_xlfn.LET(_xlpm.myRng, OFFSET($B104,0,2*(myMonth-1),1,1),
      SUMPRODUCT((MOD(COLUMN(_xlpm.myRng)-COLUMN($B104),2)=0)*_xlpm.myRng)
    )</f>
        <v>0</v>
      </c>
      <c r="AH104" s="71" cm="1">
        <f t="array" aca="1" ref="AH104" ca="1">_xlfn.LET(_xlpm.myRng, OFFSET($C104,0,2*(myMonth-1),1,1),
      SUMPRODUCT((MOD(COLUMN(_xlpm.myRng)-COLUMN($C104),2)=0)*_xlpm.myRng)
    )</f>
        <v>0</v>
      </c>
      <c r="AI104" s="93">
        <f t="shared" ca="1" si="68"/>
        <v>0</v>
      </c>
      <c r="AQ104" s="49"/>
    </row>
    <row r="105" spans="1:43" ht="14.4" x14ac:dyDescent="0.55000000000000004">
      <c r="A105" s="13" t="s">
        <v>224</v>
      </c>
      <c r="B105" s="67"/>
      <c r="C105" s="69"/>
      <c r="D105" s="67"/>
      <c r="E105" s="69"/>
      <c r="F105" s="67"/>
      <c r="G105" s="69"/>
      <c r="H105" s="67"/>
      <c r="I105" s="69"/>
      <c r="J105" s="67"/>
      <c r="K105" s="68"/>
      <c r="L105" s="67"/>
      <c r="M105" s="69"/>
      <c r="N105" s="67"/>
      <c r="O105" s="69"/>
      <c r="P105" s="67"/>
      <c r="Q105" s="69"/>
      <c r="R105" s="67"/>
      <c r="S105" s="69"/>
      <c r="T105" s="67"/>
      <c r="U105" s="68"/>
      <c r="V105" s="67"/>
      <c r="W105" s="69"/>
      <c r="X105" s="67"/>
      <c r="Y105" s="69"/>
      <c r="Z105" s="68">
        <f t="shared" si="47"/>
        <v>0</v>
      </c>
      <c r="AA105" s="69">
        <f t="shared" si="69"/>
        <v>0</v>
      </c>
      <c r="AC105" s="69" cm="1">
        <f t="array" aca="1" ref="AC105" ca="1">_xlfn.LET(_xlpm.myRng, OFFSET($B105,0,0,1,2*myMonth-1),
      SUMPRODUCT((MOD(COLUMN(_xlpm.myRng)-COLUMN($B105),2)=0)*_xlpm.myRng)
    )</f>
        <v>0</v>
      </c>
      <c r="AD105" s="69">
        <f t="shared" si="70"/>
        <v>0</v>
      </c>
      <c r="AE105" s="93">
        <f t="shared" ca="1" si="71"/>
        <v>0</v>
      </c>
      <c r="AG105" s="69" cm="1">
        <f t="array" aca="1" ref="AG105" ca="1">_xlfn.LET(_xlpm.myRng, OFFSET($B105,0,2*(myMonth-1),1,1),
      SUMPRODUCT((MOD(COLUMN(_xlpm.myRng)-COLUMN($B105),2)=0)*_xlpm.myRng)
    )</f>
        <v>0</v>
      </c>
      <c r="AH105" s="71" cm="1">
        <f t="array" aca="1" ref="AH105" ca="1">_xlfn.LET(_xlpm.myRng, OFFSET($C105,0,2*(myMonth-1),1,1),
      SUMPRODUCT((MOD(COLUMN(_xlpm.myRng)-COLUMN($C105),2)=0)*_xlpm.myRng)
    )</f>
        <v>0</v>
      </c>
      <c r="AI105" s="93">
        <f t="shared" ca="1" si="68"/>
        <v>0</v>
      </c>
      <c r="AQ105" s="49"/>
    </row>
    <row r="106" spans="1:43" ht="14.4" x14ac:dyDescent="0.55000000000000004">
      <c r="A106" s="13" t="s">
        <v>225</v>
      </c>
      <c r="B106" s="67"/>
      <c r="C106" s="69"/>
      <c r="D106" s="67"/>
      <c r="E106" s="69"/>
      <c r="F106" s="67"/>
      <c r="G106" s="69"/>
      <c r="H106" s="67"/>
      <c r="I106" s="69"/>
      <c r="J106" s="67"/>
      <c r="K106" s="68"/>
      <c r="L106" s="67"/>
      <c r="M106" s="69"/>
      <c r="N106" s="67"/>
      <c r="O106" s="69"/>
      <c r="P106" s="67"/>
      <c r="Q106" s="69"/>
      <c r="R106" s="67"/>
      <c r="S106" s="69"/>
      <c r="T106" s="67"/>
      <c r="U106" s="68"/>
      <c r="V106" s="67"/>
      <c r="W106" s="69"/>
      <c r="X106" s="67"/>
      <c r="Y106" s="69"/>
      <c r="Z106" s="68">
        <f t="shared" si="47"/>
        <v>0</v>
      </c>
      <c r="AA106" s="69">
        <f t="shared" si="69"/>
        <v>0</v>
      </c>
      <c r="AC106" s="69" cm="1">
        <f t="array" aca="1" ref="AC106" ca="1">_xlfn.LET(_xlpm.myRng, OFFSET($B106,0,0,1,2*myMonth-1),
      SUMPRODUCT((MOD(COLUMN(_xlpm.myRng)-COLUMN($B106),2)=0)*_xlpm.myRng)
    )</f>
        <v>0</v>
      </c>
      <c r="AD106" s="69">
        <f t="shared" si="70"/>
        <v>0</v>
      </c>
      <c r="AE106" s="93">
        <f t="shared" ca="1" si="71"/>
        <v>0</v>
      </c>
      <c r="AG106" s="69" cm="1">
        <f t="array" aca="1" ref="AG106" ca="1">_xlfn.LET(_xlpm.myRng, OFFSET($B106,0,2*(myMonth-1),1,1),
      SUMPRODUCT((MOD(COLUMN(_xlpm.myRng)-COLUMN($B106),2)=0)*_xlpm.myRng)
    )</f>
        <v>0</v>
      </c>
      <c r="AH106" s="71" cm="1">
        <f t="array" aca="1" ref="AH106" ca="1">_xlfn.LET(_xlpm.myRng, OFFSET($C106,0,2*(myMonth-1),1,1),
      SUMPRODUCT((MOD(COLUMN(_xlpm.myRng)-COLUMN($C106),2)=0)*_xlpm.myRng)
    )</f>
        <v>0</v>
      </c>
      <c r="AI106" s="93">
        <f t="shared" ca="1" si="68"/>
        <v>0</v>
      </c>
      <c r="AQ106" s="49"/>
    </row>
    <row r="107" spans="1:43" ht="14.4" x14ac:dyDescent="0.55000000000000004">
      <c r="A107" s="12" t="s">
        <v>226</v>
      </c>
      <c r="B107" s="72">
        <f t="shared" ref="B107" si="72">SUM(B104:B106)</f>
        <v>0</v>
      </c>
      <c r="C107" s="74">
        <f t="shared" ref="C107:AD107" si="73">SUM(C104:C106)</f>
        <v>0</v>
      </c>
      <c r="D107" s="72">
        <f t="shared" si="73"/>
        <v>0</v>
      </c>
      <c r="E107" s="74">
        <f t="shared" si="73"/>
        <v>0</v>
      </c>
      <c r="F107" s="72">
        <f t="shared" si="73"/>
        <v>0</v>
      </c>
      <c r="G107" s="74">
        <f t="shared" si="73"/>
        <v>0</v>
      </c>
      <c r="H107" s="72">
        <f t="shared" si="73"/>
        <v>0</v>
      </c>
      <c r="I107" s="74">
        <f t="shared" si="73"/>
        <v>0</v>
      </c>
      <c r="J107" s="72">
        <f t="shared" si="73"/>
        <v>0</v>
      </c>
      <c r="K107" s="73">
        <f t="shared" si="73"/>
        <v>0</v>
      </c>
      <c r="L107" s="72">
        <f t="shared" si="73"/>
        <v>0</v>
      </c>
      <c r="M107" s="74">
        <f t="shared" si="73"/>
        <v>0</v>
      </c>
      <c r="N107" s="72">
        <f t="shared" si="73"/>
        <v>0</v>
      </c>
      <c r="O107" s="74">
        <f t="shared" si="73"/>
        <v>0</v>
      </c>
      <c r="P107" s="72">
        <f t="shared" si="73"/>
        <v>0</v>
      </c>
      <c r="Q107" s="74">
        <f t="shared" si="73"/>
        <v>0</v>
      </c>
      <c r="R107" s="72">
        <f t="shared" si="73"/>
        <v>0</v>
      </c>
      <c r="S107" s="74">
        <f t="shared" si="73"/>
        <v>0</v>
      </c>
      <c r="T107" s="72">
        <f t="shared" si="73"/>
        <v>0</v>
      </c>
      <c r="U107" s="73">
        <f t="shared" si="73"/>
        <v>0</v>
      </c>
      <c r="V107" s="72">
        <f t="shared" si="73"/>
        <v>0</v>
      </c>
      <c r="W107" s="74">
        <f t="shared" si="73"/>
        <v>0</v>
      </c>
      <c r="X107" s="72">
        <f t="shared" si="73"/>
        <v>0</v>
      </c>
      <c r="Y107" s="74">
        <f t="shared" si="73"/>
        <v>0</v>
      </c>
      <c r="Z107" s="73">
        <f t="shared" si="47"/>
        <v>0</v>
      </c>
      <c r="AA107" s="74">
        <f t="shared" si="73"/>
        <v>0</v>
      </c>
      <c r="AC107" s="74">
        <f t="shared" ca="1" si="73"/>
        <v>0</v>
      </c>
      <c r="AD107" s="74">
        <f t="shared" si="73"/>
        <v>0</v>
      </c>
      <c r="AE107" s="72">
        <f t="shared" ca="1" si="71"/>
        <v>0</v>
      </c>
      <c r="AG107" s="74">
        <f t="shared" ref="AG107:AH107" ca="1" si="74">SUM(AG104:AG106)</f>
        <v>0</v>
      </c>
      <c r="AH107" s="74">
        <f t="shared" ca="1" si="74"/>
        <v>0</v>
      </c>
      <c r="AI107" s="72">
        <f t="shared" ca="1" si="68"/>
        <v>0</v>
      </c>
      <c r="AQ107" s="49"/>
    </row>
    <row r="108" spans="1:43" ht="14.4" x14ac:dyDescent="0.55000000000000004">
      <c r="A108" s="13" t="s">
        <v>227</v>
      </c>
      <c r="B108" s="67"/>
      <c r="C108" s="69"/>
      <c r="D108" s="67"/>
      <c r="E108" s="69"/>
      <c r="F108" s="67"/>
      <c r="G108" s="69"/>
      <c r="H108" s="67"/>
      <c r="I108" s="69"/>
      <c r="J108" s="67"/>
      <c r="K108" s="68"/>
      <c r="L108" s="67"/>
      <c r="M108" s="69"/>
      <c r="N108" s="67"/>
      <c r="O108" s="69"/>
      <c r="P108" s="67"/>
      <c r="Q108" s="69"/>
      <c r="R108" s="67"/>
      <c r="S108" s="69"/>
      <c r="T108" s="67"/>
      <c r="U108" s="68"/>
      <c r="V108" s="67"/>
      <c r="W108" s="69"/>
      <c r="X108" s="67"/>
      <c r="Y108" s="69"/>
      <c r="Z108" s="68">
        <f t="shared" si="47"/>
        <v>0</v>
      </c>
      <c r="AA108" s="69">
        <f t="shared" ref="AA108:AA111" si="75">SUM(C108,E108,G108,I108,K108,M108,O108,Q108,S108,U108,W108,Y108)</f>
        <v>0</v>
      </c>
      <c r="AC108" s="69" cm="1">
        <f t="array" aca="1" ref="AC108" ca="1">_xlfn.LET(_xlpm.myRng, OFFSET($B108,0,0,1,2*myMonth-1),
      SUMPRODUCT((MOD(COLUMN(_xlpm.myRng)-COLUMN($B108),2)=0)*_xlpm.myRng)
    )</f>
        <v>0</v>
      </c>
      <c r="AD108" s="69">
        <f t="shared" si="70"/>
        <v>0</v>
      </c>
      <c r="AE108" s="93">
        <f t="shared" ca="1" si="71"/>
        <v>0</v>
      </c>
      <c r="AG108" s="69" cm="1">
        <f t="array" aca="1" ref="AG108" ca="1">_xlfn.LET(_xlpm.myRng, OFFSET($B108,0,2*(myMonth-1),1,1),
      SUMPRODUCT((MOD(COLUMN(_xlpm.myRng)-COLUMN($B108),2)=0)*_xlpm.myRng)
    )</f>
        <v>0</v>
      </c>
      <c r="AH108" s="71" cm="1">
        <f t="array" aca="1" ref="AH108" ca="1">_xlfn.LET(_xlpm.myRng, OFFSET($C108,0,2*(myMonth-1),1,1),
      SUMPRODUCT((MOD(COLUMN(_xlpm.myRng)-COLUMN($C108),2)=0)*_xlpm.myRng)
    )</f>
        <v>0</v>
      </c>
      <c r="AI108" s="93">
        <f t="shared" ca="1" si="68"/>
        <v>0</v>
      </c>
      <c r="AQ108" s="49"/>
    </row>
    <row r="109" spans="1:43" ht="14.4" x14ac:dyDescent="0.55000000000000004">
      <c r="A109" s="13" t="s">
        <v>228</v>
      </c>
      <c r="B109" s="67"/>
      <c r="C109" s="69"/>
      <c r="D109" s="67"/>
      <c r="E109" s="69"/>
      <c r="F109" s="67"/>
      <c r="G109" s="69"/>
      <c r="H109" s="67"/>
      <c r="I109" s="69"/>
      <c r="J109" s="67"/>
      <c r="K109" s="68"/>
      <c r="L109" s="67"/>
      <c r="M109" s="69"/>
      <c r="N109" s="67"/>
      <c r="O109" s="69"/>
      <c r="P109" s="67"/>
      <c r="Q109" s="69"/>
      <c r="R109" s="67"/>
      <c r="S109" s="69"/>
      <c r="T109" s="67"/>
      <c r="U109" s="68"/>
      <c r="V109" s="67"/>
      <c r="W109" s="69"/>
      <c r="X109" s="67"/>
      <c r="Y109" s="69"/>
      <c r="Z109" s="68">
        <f t="shared" si="47"/>
        <v>0</v>
      </c>
      <c r="AA109" s="69">
        <f t="shared" si="75"/>
        <v>0</v>
      </c>
      <c r="AC109" s="69" cm="1">
        <f t="array" aca="1" ref="AC109" ca="1">_xlfn.LET(_xlpm.myRng, OFFSET($B109,0,0,1,2*myMonth-1),
      SUMPRODUCT((MOD(COLUMN(_xlpm.myRng)-COLUMN($B109),2)=0)*_xlpm.myRng)
    )</f>
        <v>0</v>
      </c>
      <c r="AD109" s="69">
        <f t="shared" si="70"/>
        <v>0</v>
      </c>
      <c r="AE109" s="93">
        <f t="shared" ca="1" si="71"/>
        <v>0</v>
      </c>
      <c r="AG109" s="69" cm="1">
        <f t="array" aca="1" ref="AG109" ca="1">_xlfn.LET(_xlpm.myRng, OFFSET($B109,0,2*(myMonth-1),1,1),
      SUMPRODUCT((MOD(COLUMN(_xlpm.myRng)-COLUMN($B109),2)=0)*_xlpm.myRng)
    )</f>
        <v>0</v>
      </c>
      <c r="AH109" s="71" cm="1">
        <f t="array" aca="1" ref="AH109" ca="1">_xlfn.LET(_xlpm.myRng, OFFSET($C109,0,2*(myMonth-1),1,1),
      SUMPRODUCT((MOD(COLUMN(_xlpm.myRng)-COLUMN($C109),2)=0)*_xlpm.myRng)
    )</f>
        <v>0</v>
      </c>
      <c r="AI109" s="93">
        <f t="shared" ca="1" si="68"/>
        <v>0</v>
      </c>
      <c r="AQ109" s="49"/>
    </row>
    <row r="110" spans="1:43" ht="14.4" x14ac:dyDescent="0.55000000000000004">
      <c r="A110" s="13" t="s">
        <v>229</v>
      </c>
      <c r="B110" s="67"/>
      <c r="C110" s="69"/>
      <c r="D110" s="67"/>
      <c r="E110" s="69"/>
      <c r="F110" s="67"/>
      <c r="G110" s="69"/>
      <c r="H110" s="67"/>
      <c r="I110" s="69"/>
      <c r="J110" s="67"/>
      <c r="K110" s="68"/>
      <c r="L110" s="67"/>
      <c r="M110" s="69"/>
      <c r="N110" s="67"/>
      <c r="O110" s="69"/>
      <c r="P110" s="67"/>
      <c r="Q110" s="69"/>
      <c r="R110" s="67"/>
      <c r="S110" s="69"/>
      <c r="T110" s="67"/>
      <c r="U110" s="68"/>
      <c r="V110" s="67"/>
      <c r="W110" s="69"/>
      <c r="X110" s="67"/>
      <c r="Y110" s="69"/>
      <c r="Z110" s="68">
        <f t="shared" si="47"/>
        <v>0</v>
      </c>
      <c r="AA110" s="69">
        <f t="shared" si="75"/>
        <v>0</v>
      </c>
      <c r="AC110" s="69" cm="1">
        <f t="array" aca="1" ref="AC110" ca="1">_xlfn.LET(_xlpm.myRng, OFFSET($B110,0,0,1,2*myMonth-1),
      SUMPRODUCT((MOD(COLUMN(_xlpm.myRng)-COLUMN($B110),2)=0)*_xlpm.myRng)
    )</f>
        <v>0</v>
      </c>
      <c r="AD110" s="69">
        <f t="shared" si="70"/>
        <v>0</v>
      </c>
      <c r="AE110" s="93">
        <f t="shared" ca="1" si="71"/>
        <v>0</v>
      </c>
      <c r="AG110" s="69" cm="1">
        <f t="array" aca="1" ref="AG110" ca="1">_xlfn.LET(_xlpm.myRng, OFFSET($B110,0,2*(myMonth-1),1,1),
      SUMPRODUCT((MOD(COLUMN(_xlpm.myRng)-COLUMN($B110),2)=0)*_xlpm.myRng)
    )</f>
        <v>0</v>
      </c>
      <c r="AH110" s="71" cm="1">
        <f t="array" aca="1" ref="AH110" ca="1">_xlfn.LET(_xlpm.myRng, OFFSET($C110,0,2*(myMonth-1),1,1),
      SUMPRODUCT((MOD(COLUMN(_xlpm.myRng)-COLUMN($C110),2)=0)*_xlpm.myRng)
    )</f>
        <v>0</v>
      </c>
      <c r="AI110" s="93">
        <f t="shared" ca="1" si="68"/>
        <v>0</v>
      </c>
      <c r="AQ110" s="49"/>
    </row>
    <row r="111" spans="1:43" ht="14.4" x14ac:dyDescent="0.55000000000000004">
      <c r="A111" s="13" t="s">
        <v>230</v>
      </c>
      <c r="B111" s="67"/>
      <c r="C111" s="69"/>
      <c r="D111" s="67"/>
      <c r="E111" s="69">
        <v>4</v>
      </c>
      <c r="F111" s="67">
        <v>50</v>
      </c>
      <c r="G111" s="69">
        <v>-855.96</v>
      </c>
      <c r="H111" s="67"/>
      <c r="I111" s="69">
        <v>871.29</v>
      </c>
      <c r="J111" s="67"/>
      <c r="K111" s="68"/>
      <c r="L111" s="67">
        <v>50</v>
      </c>
      <c r="M111" s="69"/>
      <c r="N111" s="67"/>
      <c r="O111" s="69"/>
      <c r="P111" s="67"/>
      <c r="Q111" s="69"/>
      <c r="R111" s="67"/>
      <c r="S111" s="69"/>
      <c r="T111" s="67">
        <v>50</v>
      </c>
      <c r="U111" s="68"/>
      <c r="V111" s="67"/>
      <c r="W111" s="69"/>
      <c r="X111" s="67">
        <v>50</v>
      </c>
      <c r="Y111" s="69"/>
      <c r="Z111" s="68">
        <f t="shared" si="47"/>
        <v>200</v>
      </c>
      <c r="AA111" s="69">
        <f t="shared" si="75"/>
        <v>19.329999999999927</v>
      </c>
      <c r="AC111" s="69" cm="1">
        <f t="array" aca="1" ref="AC111" ca="1">_xlfn.LET(_xlpm.myRng, OFFSET($B111,0,0,1,2*myMonth-1),
      SUMPRODUCT((MOD(COLUMN(_xlpm.myRng)-COLUMN($B111),2)=0)*_xlpm.myRng)
    )</f>
        <v>50</v>
      </c>
      <c r="AD111" s="69">
        <f t="shared" si="70"/>
        <v>19.329999999999927</v>
      </c>
      <c r="AE111" s="93">
        <f t="shared" ca="1" si="71"/>
        <v>30.670000000000073</v>
      </c>
      <c r="AG111" s="69" cm="1">
        <f t="array" aca="1" ref="AG111" ca="1">_xlfn.LET(_xlpm.myRng, OFFSET($B111,0,2*(myMonth-1),1,1),
      SUMPRODUCT((MOD(COLUMN(_xlpm.myRng)-COLUMN($B111),2)=0)*_xlpm.myRng)
    )</f>
        <v>0</v>
      </c>
      <c r="AH111" s="184" cm="1">
        <f t="array" aca="1" ref="AH111" ca="1">_xlfn.LET(_xlpm.myRng, OFFSET($C111,0,2*(myMonth-1),1,1),
      SUMPRODUCT((MOD(COLUMN(_xlpm.myRng)-COLUMN($C111),2)=0)*_xlpm.myRng)
    )</f>
        <v>0</v>
      </c>
      <c r="AI111" s="93">
        <f t="shared" ca="1" si="68"/>
        <v>0</v>
      </c>
      <c r="AJ111" s="36" t="s">
        <v>231</v>
      </c>
      <c r="AQ111" s="49" t="s">
        <v>232</v>
      </c>
    </row>
    <row r="112" spans="1:43" ht="14.4" x14ac:dyDescent="0.55000000000000004">
      <c r="A112" s="12" t="s">
        <v>233</v>
      </c>
      <c r="B112" s="72">
        <f t="shared" ref="B112:AD112" si="76">SUM(B108:B111)</f>
        <v>0</v>
      </c>
      <c r="C112" s="74">
        <f t="shared" si="76"/>
        <v>0</v>
      </c>
      <c r="D112" s="72">
        <f t="shared" si="76"/>
        <v>0</v>
      </c>
      <c r="E112" s="74">
        <f t="shared" si="76"/>
        <v>4</v>
      </c>
      <c r="F112" s="72">
        <f t="shared" si="76"/>
        <v>50</v>
      </c>
      <c r="G112" s="74">
        <f t="shared" si="76"/>
        <v>-855.96</v>
      </c>
      <c r="H112" s="72">
        <f t="shared" si="76"/>
        <v>0</v>
      </c>
      <c r="I112" s="255">
        <f t="shared" si="76"/>
        <v>871.29</v>
      </c>
      <c r="J112" s="72">
        <f t="shared" si="76"/>
        <v>0</v>
      </c>
      <c r="K112" s="73">
        <f t="shared" si="76"/>
        <v>0</v>
      </c>
      <c r="L112" s="72">
        <f t="shared" si="76"/>
        <v>50</v>
      </c>
      <c r="M112" s="74">
        <f t="shared" si="76"/>
        <v>0</v>
      </c>
      <c r="N112" s="72">
        <f t="shared" si="76"/>
        <v>0</v>
      </c>
      <c r="O112" s="74">
        <f t="shared" si="76"/>
        <v>0</v>
      </c>
      <c r="P112" s="72">
        <f t="shared" si="76"/>
        <v>0</v>
      </c>
      <c r="Q112" s="74">
        <f t="shared" si="76"/>
        <v>0</v>
      </c>
      <c r="R112" s="72">
        <f t="shared" si="76"/>
        <v>0</v>
      </c>
      <c r="S112" s="74">
        <f t="shared" si="76"/>
        <v>0</v>
      </c>
      <c r="T112" s="72">
        <f t="shared" si="76"/>
        <v>50</v>
      </c>
      <c r="U112" s="73">
        <f t="shared" si="76"/>
        <v>0</v>
      </c>
      <c r="V112" s="72">
        <f t="shared" si="76"/>
        <v>0</v>
      </c>
      <c r="W112" s="74">
        <f t="shared" si="76"/>
        <v>0</v>
      </c>
      <c r="X112" s="72">
        <f t="shared" si="76"/>
        <v>50</v>
      </c>
      <c r="Y112" s="74">
        <f t="shared" si="76"/>
        <v>0</v>
      </c>
      <c r="Z112" s="73">
        <f t="shared" si="47"/>
        <v>200</v>
      </c>
      <c r="AA112" s="74">
        <f t="shared" si="76"/>
        <v>19.329999999999927</v>
      </c>
      <c r="AC112" s="74">
        <f t="shared" ca="1" si="76"/>
        <v>50</v>
      </c>
      <c r="AD112" s="74">
        <f t="shared" si="76"/>
        <v>19.329999999999927</v>
      </c>
      <c r="AE112" s="72">
        <f t="shared" ca="1" si="71"/>
        <v>30.670000000000073</v>
      </c>
      <c r="AG112" s="74">
        <f t="shared" ref="AG112:AH112" ca="1" si="77">SUM(AG108:AG111)</f>
        <v>0</v>
      </c>
      <c r="AH112" s="74">
        <f t="shared" ca="1" si="77"/>
        <v>0</v>
      </c>
      <c r="AI112" s="72">
        <f t="shared" ca="1" si="68"/>
        <v>0</v>
      </c>
      <c r="AQ112" s="49"/>
    </row>
    <row r="113" spans="1:43" ht="14.4" x14ac:dyDescent="0.55000000000000004">
      <c r="A113" s="17" t="s">
        <v>234</v>
      </c>
      <c r="B113" s="83">
        <f t="shared" ref="B113:Y113" si="78">B38+B52+B56+B65+B73+B87+B91+B103+B107+B112</f>
        <v>2230.9899999999998</v>
      </c>
      <c r="C113" s="85">
        <f t="shared" si="78"/>
        <v>2230.9899999999998</v>
      </c>
      <c r="D113" s="83">
        <f t="shared" si="78"/>
        <v>5007.4400000000005</v>
      </c>
      <c r="E113" s="85">
        <f t="shared" si="78"/>
        <v>4889.1399999999994</v>
      </c>
      <c r="F113" s="83">
        <f t="shared" si="78"/>
        <v>677.99</v>
      </c>
      <c r="G113" s="85">
        <f t="shared" si="78"/>
        <v>888.9699999999998</v>
      </c>
      <c r="H113" s="83">
        <f t="shared" si="78"/>
        <v>1087.99</v>
      </c>
      <c r="I113" s="183">
        <f t="shared" si="78"/>
        <v>2010.91</v>
      </c>
      <c r="J113" s="83">
        <f t="shared" si="78"/>
        <v>1267.99</v>
      </c>
      <c r="K113" s="84">
        <f t="shared" si="78"/>
        <v>1158.17</v>
      </c>
      <c r="L113" s="83">
        <f t="shared" si="78"/>
        <v>2427.9899999999998</v>
      </c>
      <c r="M113" s="85">
        <f t="shared" si="78"/>
        <v>0</v>
      </c>
      <c r="N113" s="83">
        <f t="shared" si="78"/>
        <v>352.99</v>
      </c>
      <c r="O113" s="85">
        <f t="shared" si="78"/>
        <v>0</v>
      </c>
      <c r="P113" s="83">
        <f t="shared" si="78"/>
        <v>917.99</v>
      </c>
      <c r="Q113" s="85">
        <f t="shared" si="78"/>
        <v>0</v>
      </c>
      <c r="R113" s="83">
        <f t="shared" si="78"/>
        <v>3127.99</v>
      </c>
      <c r="S113" s="85">
        <f t="shared" si="78"/>
        <v>0</v>
      </c>
      <c r="T113" s="83">
        <f t="shared" si="78"/>
        <v>1407.99</v>
      </c>
      <c r="U113" s="84">
        <f t="shared" si="78"/>
        <v>0</v>
      </c>
      <c r="V113" s="83">
        <f t="shared" si="78"/>
        <v>602.99</v>
      </c>
      <c r="W113" s="85">
        <f t="shared" si="78"/>
        <v>0</v>
      </c>
      <c r="X113" s="83">
        <f t="shared" si="78"/>
        <v>1912.99</v>
      </c>
      <c r="Y113" s="85">
        <f t="shared" si="78"/>
        <v>0</v>
      </c>
      <c r="Z113" s="84">
        <f t="shared" si="47"/>
        <v>21023.330000000005</v>
      </c>
      <c r="AA113" s="85">
        <f>AA38+AA52+AA56+AA65+AA73+AA87+AA91+AA103+AA107+AA112</f>
        <v>11178.179999999998</v>
      </c>
      <c r="AC113" s="85">
        <f ca="1">AC38+AC52+AC56+AC65+AC73+AC87+AC91+AC103+AC107+AC112</f>
        <v>10272.4</v>
      </c>
      <c r="AD113" s="85">
        <f>AD38+AD52+AD56+AD65+AD73+AD87+AD91+AD103+AD107+AD112</f>
        <v>11178.179999999998</v>
      </c>
      <c r="AE113" s="83">
        <f t="shared" ca="1" si="71"/>
        <v>-905.77999999999884</v>
      </c>
      <c r="AG113" s="85">
        <f ca="1">AG38+AG52+AG56+AG65+AG73+AG87+AG91+AG103+AG107+AG112</f>
        <v>1267.99</v>
      </c>
      <c r="AH113" s="183">
        <f ca="1">AH38+AH52+AH56+AH65+AH73+AH87+AH91+AH103+AH107+AH112</f>
        <v>1158.17</v>
      </c>
      <c r="AI113" s="83">
        <f t="shared" ca="1" si="68"/>
        <v>109.81999999999994</v>
      </c>
      <c r="AJ113" s="25"/>
      <c r="AQ113" s="53"/>
    </row>
    <row r="114" spans="1:43" ht="14.4" x14ac:dyDescent="0.55000000000000004">
      <c r="A114" s="86" t="s">
        <v>235</v>
      </c>
      <c r="B114" s="120">
        <f t="shared" ref="B114:AA114" si="79">B36-B113</f>
        <v>2473.9100000000008</v>
      </c>
      <c r="C114" s="121">
        <f t="shared" si="79"/>
        <v>2473.9100000000008</v>
      </c>
      <c r="D114" s="120">
        <f t="shared" si="79"/>
        <v>3650.8500000000004</v>
      </c>
      <c r="E114" s="121">
        <f t="shared" si="79"/>
        <v>1639.04</v>
      </c>
      <c r="F114" s="120">
        <f t="shared" si="79"/>
        <v>452.16000000000008</v>
      </c>
      <c r="G114" s="121">
        <f t="shared" si="79"/>
        <v>-274.44999999999982</v>
      </c>
      <c r="H114" s="120">
        <f t="shared" si="79"/>
        <v>525.6099999999999</v>
      </c>
      <c r="I114" s="121">
        <f t="shared" si="79"/>
        <v>-825.51</v>
      </c>
      <c r="J114" s="120">
        <f t="shared" si="79"/>
        <v>-119.38000000000011</v>
      </c>
      <c r="K114" s="122">
        <f t="shared" si="79"/>
        <v>-333.63</v>
      </c>
      <c r="L114" s="120">
        <f t="shared" si="79"/>
        <v>-1131.8599999999997</v>
      </c>
      <c r="M114" s="121">
        <f t="shared" si="79"/>
        <v>0</v>
      </c>
      <c r="N114" s="120">
        <f t="shared" si="79"/>
        <v>1229.08</v>
      </c>
      <c r="O114" s="121">
        <f t="shared" si="79"/>
        <v>0</v>
      </c>
      <c r="P114" s="120">
        <f t="shared" si="79"/>
        <v>231.59999999999991</v>
      </c>
      <c r="Q114" s="121">
        <f t="shared" si="79"/>
        <v>0</v>
      </c>
      <c r="R114" s="120">
        <f t="shared" si="79"/>
        <v>-1188.3899999999999</v>
      </c>
      <c r="S114" s="121">
        <f t="shared" si="79"/>
        <v>0</v>
      </c>
      <c r="T114" s="120">
        <f t="shared" si="79"/>
        <v>371.62999999999988</v>
      </c>
      <c r="U114" s="122">
        <f t="shared" si="79"/>
        <v>0</v>
      </c>
      <c r="V114" s="120">
        <f t="shared" si="79"/>
        <v>529.15000000000009</v>
      </c>
      <c r="W114" s="121">
        <f t="shared" si="79"/>
        <v>0</v>
      </c>
      <c r="X114" s="120">
        <f t="shared" si="79"/>
        <v>-1140.8400000000001</v>
      </c>
      <c r="Y114" s="121">
        <f t="shared" si="79"/>
        <v>0</v>
      </c>
      <c r="Z114" s="122">
        <f t="shared" si="79"/>
        <v>5883.5199999999968</v>
      </c>
      <c r="AA114" s="121">
        <f t="shared" si="79"/>
        <v>2679.3600000000024</v>
      </c>
      <c r="AC114" s="121">
        <f ca="1">AC36-AC113</f>
        <v>6983.149999999996</v>
      </c>
      <c r="AD114" s="121">
        <f>AD36-AD113</f>
        <v>2679.3600000000024</v>
      </c>
      <c r="AE114" s="120">
        <f ca="1">AD114-AC114</f>
        <v>-4303.7899999999936</v>
      </c>
      <c r="AG114" s="121">
        <f ca="1">AG36-AG113</f>
        <v>-119.38000000000011</v>
      </c>
      <c r="AH114" s="121">
        <f ca="1">AH36-AH113</f>
        <v>-333.63</v>
      </c>
      <c r="AI114" s="120">
        <f ca="1">AH114-AG114</f>
        <v>-214.24999999999989</v>
      </c>
      <c r="AQ114" s="54"/>
    </row>
    <row r="115" spans="1:43" ht="14.4" x14ac:dyDescent="0.55000000000000004">
      <c r="A115" s="119" t="s">
        <v>236</v>
      </c>
      <c r="B115" s="119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</row>
    <row r="116" spans="1:43" ht="15" customHeight="1" x14ac:dyDescent="0.55000000000000004">
      <c r="A116" s="123" t="s">
        <v>237</v>
      </c>
      <c r="B116" s="124">
        <f t="shared" ref="B116:AI116" si="80">IFERROR(B$114/B$36,"N/A")</f>
        <v>0.52581563901464445</v>
      </c>
      <c r="C116" s="124">
        <f t="shared" si="80"/>
        <v>0.52581563901464445</v>
      </c>
      <c r="D116" s="124">
        <f t="shared" si="80"/>
        <v>0.42165947317541919</v>
      </c>
      <c r="E116" s="124">
        <f t="shared" si="80"/>
        <v>0.25107150844492648</v>
      </c>
      <c r="F116" s="124">
        <f t="shared" si="80"/>
        <v>0.40008848382958018</v>
      </c>
      <c r="G116" s="124">
        <f t="shared" si="80"/>
        <v>-0.44660873527305839</v>
      </c>
      <c r="H116" s="124">
        <f t="shared" si="80"/>
        <v>0.32573748140803166</v>
      </c>
      <c r="I116" s="124">
        <f t="shared" si="80"/>
        <v>-0.69639784039142905</v>
      </c>
      <c r="J116" s="124">
        <f t="shared" si="80"/>
        <v>-0.10393432061361134</v>
      </c>
      <c r="K116" s="124">
        <f t="shared" si="80"/>
        <v>-0.40462560943071285</v>
      </c>
      <c r="L116" s="124">
        <f t="shared" si="80"/>
        <v>-0.87326116979006707</v>
      </c>
      <c r="M116" s="124" t="str">
        <f t="shared" si="80"/>
        <v>N/A</v>
      </c>
      <c r="N116" s="124">
        <f t="shared" si="80"/>
        <v>0.77688092183026036</v>
      </c>
      <c r="O116" s="124" t="str">
        <f t="shared" si="80"/>
        <v>N/A</v>
      </c>
      <c r="P116" s="124">
        <f t="shared" si="80"/>
        <v>0.20146313033342317</v>
      </c>
      <c r="Q116" s="124" t="str">
        <f t="shared" si="80"/>
        <v>N/A</v>
      </c>
      <c r="R116" s="124">
        <f t="shared" si="80"/>
        <v>-0.61269849453495562</v>
      </c>
      <c r="S116" s="124" t="str">
        <f t="shared" si="80"/>
        <v>N/A</v>
      </c>
      <c r="T116" s="124">
        <f t="shared" si="80"/>
        <v>0.20882547959676778</v>
      </c>
      <c r="U116" s="124" t="str">
        <f t="shared" si="80"/>
        <v>N/A</v>
      </c>
      <c r="V116" s="124">
        <f t="shared" si="80"/>
        <v>0.46738919214938085</v>
      </c>
      <c r="W116" s="124" t="str">
        <f t="shared" si="80"/>
        <v>N/A</v>
      </c>
      <c r="X116" s="124">
        <f t="shared" si="80"/>
        <v>-1.4774849446351099</v>
      </c>
      <c r="Y116" s="124" t="str">
        <f t="shared" si="80"/>
        <v>N/A</v>
      </c>
      <c r="Z116" s="124">
        <f t="shared" si="80"/>
        <v>0.21866253389006876</v>
      </c>
      <c r="AA116" s="124">
        <f t="shared" si="80"/>
        <v>0.19335033490792755</v>
      </c>
      <c r="AB116" s="124" t="str">
        <f t="shared" si="80"/>
        <v>N/A</v>
      </c>
      <c r="AC116" s="124">
        <f t="shared" ca="1" si="80"/>
        <v>0.40469008521895838</v>
      </c>
      <c r="AD116" s="124">
        <f t="shared" si="80"/>
        <v>0.19335033490792755</v>
      </c>
      <c r="AE116" s="124">
        <f t="shared" ca="1" si="80"/>
        <v>1.2665618994646868</v>
      </c>
      <c r="AF116" s="124" t="str">
        <f t="shared" si="80"/>
        <v>N/A</v>
      </c>
      <c r="AG116" s="124">
        <f t="shared" ca="1" si="80"/>
        <v>-0.10393432061361134</v>
      </c>
      <c r="AH116" s="124">
        <f t="shared" ca="1" si="80"/>
        <v>-0.40462560943071285</v>
      </c>
      <c r="AI116" s="124">
        <f t="shared" ca="1" si="80"/>
        <v>0.66112259696979048</v>
      </c>
    </row>
    <row r="117" spans="1:43" ht="15" customHeight="1" outlineLevel="1" x14ac:dyDescent="0.55000000000000004">
      <c r="A117" s="100" t="s">
        <v>238</v>
      </c>
      <c r="B117" s="101" cm="1">
        <f t="array" ref="B117:X117">(COLUMN(B9:X9)-COLUMN(B9))</f>
        <v>0</v>
      </c>
      <c r="C117" s="102">
        <v>1</v>
      </c>
      <c r="D117" s="102">
        <v>2</v>
      </c>
      <c r="E117" s="102">
        <v>3</v>
      </c>
      <c r="F117" s="102">
        <v>4</v>
      </c>
      <c r="G117" s="102">
        <v>5</v>
      </c>
      <c r="H117" s="102">
        <v>6</v>
      </c>
      <c r="I117" s="102">
        <v>7</v>
      </c>
      <c r="J117" s="102">
        <v>8</v>
      </c>
      <c r="K117" s="102">
        <v>9</v>
      </c>
      <c r="L117" s="102">
        <v>10</v>
      </c>
      <c r="M117" s="102">
        <v>11</v>
      </c>
      <c r="N117" s="102">
        <v>12</v>
      </c>
      <c r="O117" s="102">
        <v>13</v>
      </c>
      <c r="P117" s="102">
        <v>14</v>
      </c>
      <c r="Q117" s="102">
        <v>15</v>
      </c>
      <c r="R117" s="102">
        <v>16</v>
      </c>
      <c r="S117" s="102">
        <v>17</v>
      </c>
      <c r="T117" s="102">
        <v>18</v>
      </c>
      <c r="U117" s="102">
        <v>19</v>
      </c>
      <c r="V117" s="102">
        <v>20</v>
      </c>
      <c r="W117" s="102">
        <v>21</v>
      </c>
      <c r="X117" s="102">
        <v>22</v>
      </c>
    </row>
    <row r="118" spans="1:43" ht="15" customHeight="1" outlineLevel="1" x14ac:dyDescent="0.55000000000000004">
      <c r="A118" s="103"/>
      <c r="B118" s="101" cm="1">
        <f t="array" ref="B118:X118">MOD(COLUMN(B10:X10)-COLUMN(B10),2)</f>
        <v>0</v>
      </c>
      <c r="C118" s="102">
        <v>1</v>
      </c>
      <c r="D118" s="102">
        <v>0</v>
      </c>
      <c r="E118" s="102">
        <v>1</v>
      </c>
      <c r="F118" s="102">
        <v>0</v>
      </c>
      <c r="G118" s="102">
        <v>1</v>
      </c>
      <c r="H118" s="102">
        <v>0</v>
      </c>
      <c r="I118" s="102">
        <v>1</v>
      </c>
      <c r="J118" s="102">
        <v>0</v>
      </c>
      <c r="K118" s="102">
        <v>1</v>
      </c>
      <c r="L118" s="102">
        <v>0</v>
      </c>
      <c r="M118" s="102">
        <v>1</v>
      </c>
      <c r="N118" s="102">
        <v>0</v>
      </c>
      <c r="O118" s="102">
        <v>1</v>
      </c>
      <c r="P118" s="102">
        <v>0</v>
      </c>
      <c r="Q118" s="102">
        <v>1</v>
      </c>
      <c r="R118" s="102">
        <v>0</v>
      </c>
      <c r="S118" s="102">
        <v>1</v>
      </c>
      <c r="T118" s="102">
        <v>0</v>
      </c>
      <c r="U118" s="102">
        <v>1</v>
      </c>
      <c r="V118" s="102">
        <v>0</v>
      </c>
      <c r="W118" s="102">
        <v>1</v>
      </c>
      <c r="X118" s="102">
        <v>0</v>
      </c>
    </row>
    <row r="119" spans="1:43" ht="15" customHeight="1" outlineLevel="1" x14ac:dyDescent="0.55000000000000004">
      <c r="A119" s="103"/>
      <c r="B119" s="104" cm="1">
        <f t="array" aca="1" ref="B119:J119" ca="1">MOD(COLUMN(OFFSET(B9,0,0,1,2*Variables!$A$2-1))-COLUMN(B9),2)</f>
        <v>0</v>
      </c>
      <c r="C119" s="102">
        <f ca="1"/>
        <v>1</v>
      </c>
      <c r="D119" s="102">
        <f ca="1"/>
        <v>0</v>
      </c>
      <c r="E119" s="102">
        <f ca="1"/>
        <v>1</v>
      </c>
      <c r="F119" s="102">
        <f ca="1"/>
        <v>0</v>
      </c>
      <c r="G119" s="102">
        <f ca="1"/>
        <v>1</v>
      </c>
      <c r="H119" s="102">
        <f ca="1"/>
        <v>0</v>
      </c>
      <c r="I119" s="102">
        <f ca="1"/>
        <v>1</v>
      </c>
      <c r="J119" s="102">
        <f ca="1"/>
        <v>0</v>
      </c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</row>
    <row r="120" spans="1:43" ht="15" customHeight="1" outlineLevel="1" x14ac:dyDescent="0.55000000000000004">
      <c r="A120" s="103"/>
      <c r="B120" s="105" cm="1">
        <f t="array" aca="1" ref="B120" ca="1">_xlfn.LET(_xlpm.myRng, OFFSET($B9,0,0,1,2*myMonth-1),
      SUMPRODUCT((MOD(COLUMN(_xlpm.myRng)-COLUMN($B9),2)=0)*_xlpm.myRng)
    )</f>
        <v>0</v>
      </c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</row>
    <row r="121" spans="1:43" ht="15" customHeight="1" x14ac:dyDescent="0.55000000000000004">
      <c r="E121" s="127"/>
      <c r="F121" s="128"/>
      <c r="AA121" s="62">
        <f>AA36/Z36</f>
        <v>0.51501903790298753</v>
      </c>
    </row>
    <row r="122" spans="1:43" ht="15" customHeight="1" x14ac:dyDescent="0.55000000000000004">
      <c r="E122" s="127"/>
      <c r="G122" s="178"/>
    </row>
    <row r="123" spans="1:43" ht="15" customHeight="1" x14ac:dyDescent="0.7">
      <c r="A123" s="46" t="s">
        <v>25</v>
      </c>
    </row>
    <row r="124" spans="1:43" ht="15" customHeight="1" x14ac:dyDescent="0.7">
      <c r="A124" s="47" t="s">
        <v>239</v>
      </c>
    </row>
    <row r="125" spans="1:43" ht="15" customHeight="1" x14ac:dyDescent="0.7">
      <c r="A125" s="47" t="str" cm="1">
        <f t="array" ref="A125">_xlfn.CONCAT("YTD ", TEXT(DATE(Variables!$B$2,myMonth,1),"mmm"))</f>
        <v>YTD May</v>
      </c>
    </row>
    <row r="126" spans="1:43" ht="15" customHeight="1" x14ac:dyDescent="0.55000000000000004">
      <c r="A126" s="95" t="s">
        <v>27</v>
      </c>
    </row>
    <row r="127" spans="1:43" ht="15" customHeight="1" x14ac:dyDescent="0.6">
      <c r="A127" s="111"/>
      <c r="B127" s="276" t="s">
        <v>240</v>
      </c>
      <c r="C127" s="277"/>
      <c r="D127" s="277"/>
      <c r="E127" s="277"/>
      <c r="F127" s="277"/>
      <c r="G127" s="277"/>
      <c r="H127" s="277"/>
      <c r="I127" s="277"/>
      <c r="J127" s="277"/>
      <c r="K127" s="277"/>
      <c r="L127" s="277"/>
      <c r="M127" s="277"/>
      <c r="N127" s="277"/>
      <c r="O127" s="277"/>
      <c r="P127" s="277"/>
      <c r="Q127" s="277"/>
      <c r="R127" s="277"/>
      <c r="S127" s="277"/>
      <c r="T127" s="277"/>
      <c r="U127" s="277"/>
      <c r="V127" s="277"/>
      <c r="W127" s="277"/>
      <c r="X127" s="277"/>
      <c r="Y127" s="278"/>
      <c r="Z127"/>
      <c r="AA127"/>
      <c r="AC127"/>
      <c r="AD127"/>
      <c r="AE127"/>
      <c r="AG127"/>
      <c r="AH127" s="55"/>
      <c r="AI127"/>
      <c r="AQ127"/>
    </row>
    <row r="128" spans="1:43" ht="15" customHeight="1" x14ac:dyDescent="0.6">
      <c r="A128" s="112"/>
      <c r="B128" s="106" t="s">
        <v>74</v>
      </c>
      <c r="C128" s="59" t="str">
        <f>B128</f>
        <v>Jan</v>
      </c>
      <c r="D128" s="57" t="s">
        <v>75</v>
      </c>
      <c r="E128" s="59" t="str">
        <f>D128</f>
        <v>Feb</v>
      </c>
      <c r="F128" s="57" t="s">
        <v>76</v>
      </c>
      <c r="G128" s="59" t="str">
        <f>F128</f>
        <v>Mar</v>
      </c>
      <c r="H128" s="57" t="s">
        <v>77</v>
      </c>
      <c r="I128" s="59" t="str">
        <f>H128</f>
        <v>Apr</v>
      </c>
      <c r="J128" s="57" t="s">
        <v>78</v>
      </c>
      <c r="K128" s="58" t="str">
        <f>J128</f>
        <v>May</v>
      </c>
      <c r="L128" s="57" t="s">
        <v>79</v>
      </c>
      <c r="M128" s="59" t="str">
        <f>L128</f>
        <v>Jun</v>
      </c>
      <c r="N128" s="57" t="s">
        <v>80</v>
      </c>
      <c r="O128" s="59" t="str">
        <f>N128</f>
        <v>Jul</v>
      </c>
      <c r="P128" s="57" t="s">
        <v>81</v>
      </c>
      <c r="Q128" s="59" t="str">
        <f>P128</f>
        <v>Aug</v>
      </c>
      <c r="R128" s="57" t="s">
        <v>82</v>
      </c>
      <c r="S128" s="59" t="str">
        <f>R128</f>
        <v>Sep</v>
      </c>
      <c r="T128" s="57" t="s">
        <v>83</v>
      </c>
      <c r="U128" s="58" t="str">
        <f>T128</f>
        <v>Oct</v>
      </c>
      <c r="V128" s="57" t="s">
        <v>84</v>
      </c>
      <c r="W128" s="59" t="str">
        <f>V128</f>
        <v>Nov</v>
      </c>
      <c r="X128" s="57" t="s">
        <v>85</v>
      </c>
      <c r="Y128" s="107" t="str">
        <f>X128</f>
        <v>Dec</v>
      </c>
      <c r="Z128"/>
      <c r="AA128" s="55"/>
      <c r="AC128"/>
      <c r="AD128"/>
      <c r="AE128"/>
      <c r="AG128"/>
      <c r="AH128"/>
      <c r="AI128"/>
      <c r="AQ128"/>
    </row>
    <row r="129" spans="1:43" ht="14.4" x14ac:dyDescent="0.55000000000000004">
      <c r="A129" s="113" t="s">
        <v>241</v>
      </c>
      <c r="B129" s="108" t="s">
        <v>86</v>
      </c>
      <c r="C129" s="89" t="s">
        <v>87</v>
      </c>
      <c r="D129" s="87" t="s">
        <v>86</v>
      </c>
      <c r="E129" s="89" t="s">
        <v>87</v>
      </c>
      <c r="F129" s="87" t="s">
        <v>86</v>
      </c>
      <c r="G129" s="89" t="s">
        <v>87</v>
      </c>
      <c r="H129" s="87" t="s">
        <v>86</v>
      </c>
      <c r="I129" s="89" t="s">
        <v>87</v>
      </c>
      <c r="J129" s="87" t="s">
        <v>86</v>
      </c>
      <c r="K129" s="88" t="s">
        <v>87</v>
      </c>
      <c r="L129" s="87" t="s">
        <v>86</v>
      </c>
      <c r="M129" s="89" t="s">
        <v>87</v>
      </c>
      <c r="N129" s="87" t="s">
        <v>86</v>
      </c>
      <c r="O129" s="89" t="s">
        <v>87</v>
      </c>
      <c r="P129" s="87" t="s">
        <v>86</v>
      </c>
      <c r="Q129" s="89" t="s">
        <v>87</v>
      </c>
      <c r="R129" s="87" t="s">
        <v>86</v>
      </c>
      <c r="S129" s="89" t="s">
        <v>87</v>
      </c>
      <c r="T129" s="87" t="s">
        <v>86</v>
      </c>
      <c r="U129" s="88" t="s">
        <v>87</v>
      </c>
      <c r="V129" s="87" t="s">
        <v>86</v>
      </c>
      <c r="W129" s="89" t="s">
        <v>87</v>
      </c>
      <c r="X129" s="87" t="s">
        <v>86</v>
      </c>
      <c r="Y129" s="109" t="s">
        <v>87</v>
      </c>
      <c r="Z129"/>
      <c r="AA129" s="55"/>
      <c r="AC129"/>
      <c r="AD129"/>
      <c r="AE129"/>
      <c r="AG129"/>
      <c r="AH129"/>
      <c r="AI129"/>
      <c r="AQ129"/>
    </row>
    <row r="130" spans="1:43" ht="14.4" x14ac:dyDescent="0.55000000000000004">
      <c r="A130" s="114" t="s">
        <v>242</v>
      </c>
      <c r="B130" s="264">
        <v>510</v>
      </c>
      <c r="C130" s="260">
        <v>510</v>
      </c>
      <c r="D130" s="261">
        <v>510</v>
      </c>
      <c r="E130" s="260">
        <v>510</v>
      </c>
      <c r="F130" s="261">
        <v>510</v>
      </c>
      <c r="G130" s="260">
        <v>510</v>
      </c>
      <c r="H130" s="261">
        <v>510</v>
      </c>
      <c r="I130" s="260">
        <v>510</v>
      </c>
      <c r="J130" s="261">
        <v>510</v>
      </c>
      <c r="K130" s="262">
        <v>510</v>
      </c>
      <c r="L130" s="261">
        <v>510</v>
      </c>
      <c r="M130" s="260"/>
      <c r="N130" s="261">
        <v>510</v>
      </c>
      <c r="O130" s="260"/>
      <c r="P130" s="261">
        <v>510</v>
      </c>
      <c r="Q130" s="260"/>
      <c r="R130" s="261">
        <v>510</v>
      </c>
      <c r="S130" s="260"/>
      <c r="T130" s="261">
        <v>510</v>
      </c>
      <c r="U130" s="262"/>
      <c r="V130" s="261">
        <v>510</v>
      </c>
      <c r="W130" s="260"/>
      <c r="X130" s="261">
        <v>510</v>
      </c>
      <c r="Y130" s="263"/>
      <c r="Z130"/>
      <c r="AA130" s="55"/>
      <c r="AC130" s="231"/>
      <c r="AD130"/>
      <c r="AE130"/>
      <c r="AG130"/>
      <c r="AH130"/>
      <c r="AI130"/>
      <c r="AQ130"/>
    </row>
    <row r="131" spans="1:43" ht="14.4" x14ac:dyDescent="0.55000000000000004">
      <c r="A131" s="115" t="s">
        <v>243</v>
      </c>
      <c r="B131" s="110">
        <v>1259.17</v>
      </c>
      <c r="C131" s="69">
        <v>1259.17</v>
      </c>
      <c r="D131" s="180">
        <f ca="1">IF(AND(D$119="",ISBLANK(B$119)=FALSE),C134,B134)</f>
        <v>3717.880000000001</v>
      </c>
      <c r="E131" s="69">
        <f>C134</f>
        <v>3717.880000000001</v>
      </c>
      <c r="F131" s="180">
        <f ca="1">IF(AND(F$119="",ISBLANK(D$119)=FALSE),E134,D134)</f>
        <v>8354.4800000000032</v>
      </c>
      <c r="G131" s="69">
        <f ca="1">IF(ISBLANK(E$119)=FALSE,E134,0)</f>
        <v>6343.9300000000012</v>
      </c>
      <c r="H131" s="180">
        <f ca="1">IF(AND(H$119="",ISBLANK(F$119)=FALSE),G134,F134)</f>
        <v>6790.5300000000034</v>
      </c>
      <c r="I131" s="69">
        <f ca="1">IF(ISBLANK(G$119)=FALSE,G134,0)</f>
        <v>6055.1800000000012</v>
      </c>
      <c r="J131" s="180">
        <f ca="1">IF(AND(J$119="",ISBLANK(H$119)=FALSE),I134,H134)</f>
        <v>6299.0800000000036</v>
      </c>
      <c r="K131" s="69">
        <f ca="1">IF(ISBLANK(I$119)=FALSE,I134,0)</f>
        <v>5215.8200000000015</v>
      </c>
      <c r="L131" s="180">
        <f ca="1">IF(AND(L$119="",ISBLANK(J$119)=FALSE),K134,J134)</f>
        <v>4867.8700000000017</v>
      </c>
      <c r="M131" s="69">
        <f>IF(ISBLANK(K$119)=FALSE,K134,0)</f>
        <v>0</v>
      </c>
      <c r="N131" s="180">
        <f ca="1">IF(AND(N$119="",ISBLANK(L$119)=FALSE),M134,L134)</f>
        <v>3718.9200000000019</v>
      </c>
      <c r="O131" s="69">
        <f>IF(ISBLANK(M$119)=FALSE,M134,0)</f>
        <v>0</v>
      </c>
      <c r="P131" s="180">
        <f ca="1">IF(AND(P$119="",ISBLANK(N$119)=FALSE),O134,N134)</f>
        <v>3929.9700000000021</v>
      </c>
      <c r="Q131" s="69">
        <f>IF(ISBLANK(O$119)=FALSE,O134,0)</f>
        <v>0</v>
      </c>
      <c r="R131" s="180">
        <f ca="1">IF(AND(R$119="",ISBLANK(P$119)=FALSE),Q134,P134)</f>
        <v>4143.5200000000023</v>
      </c>
      <c r="S131" s="69">
        <f>IF(ISBLANK(Q$119)=FALSE,Q134,0)</f>
        <v>0</v>
      </c>
      <c r="T131" s="180">
        <f ca="1">IF(AND(T$119="",ISBLANK(R$119)=FALSE),S134,R134)</f>
        <v>2887.0700000000024</v>
      </c>
      <c r="U131" s="69">
        <f>IF(ISBLANK(S$119)=FALSE,S134,0)</f>
        <v>0</v>
      </c>
      <c r="V131" s="180">
        <f ca="1">IF(AND(V$119="",ISBLANK(T$119)=FALSE),U134,T134)</f>
        <v>3290.6200000000022</v>
      </c>
      <c r="W131" s="69">
        <f>IF(ISBLANK(U$119)=FALSE,U134,0)</f>
        <v>0</v>
      </c>
      <c r="X131" s="180">
        <f ca="1">IF(AND(X$119="",ISBLANK(V$119)=FALSE),W134,V134)</f>
        <v>3801.6700000000023</v>
      </c>
      <c r="Y131" s="69">
        <f>IF(ISBLANK(W$119)=FALSE,W134,0)</f>
        <v>0</v>
      </c>
      <c r="AC131"/>
      <c r="AF131" s="62"/>
      <c r="AG131"/>
      <c r="AH131"/>
      <c r="AI131"/>
      <c r="AN131" s="55"/>
      <c r="AQ131"/>
    </row>
    <row r="132" spans="1:43" ht="14.4" x14ac:dyDescent="0.55000000000000004">
      <c r="A132" s="115" t="s">
        <v>244</v>
      </c>
      <c r="B132" s="110"/>
      <c r="C132" s="69"/>
      <c r="D132" s="67">
        <v>1000</v>
      </c>
      <c r="E132" s="69">
        <v>1000</v>
      </c>
      <c r="F132" s="67">
        <v>-2000</v>
      </c>
      <c r="G132" s="69"/>
      <c r="H132" s="67">
        <v>-1000</v>
      </c>
      <c r="I132" s="69"/>
      <c r="J132" s="67"/>
      <c r="K132" s="69"/>
      <c r="L132" s="67"/>
      <c r="M132" s="69"/>
      <c r="N132" s="67">
        <v>-1000</v>
      </c>
      <c r="O132" s="69"/>
      <c r="P132" s="67"/>
      <c r="Q132" s="69"/>
      <c r="R132" s="67"/>
      <c r="S132" s="69"/>
      <c r="T132" s="67"/>
      <c r="U132" s="69"/>
      <c r="V132" s="67"/>
      <c r="W132" s="69"/>
      <c r="X132" s="67"/>
      <c r="Y132" s="69"/>
      <c r="AC132"/>
      <c r="AF132" s="62"/>
      <c r="AG132"/>
      <c r="AH132"/>
      <c r="AI132"/>
      <c r="AN132" s="55"/>
      <c r="AQ132"/>
    </row>
    <row r="133" spans="1:43" ht="14.4" x14ac:dyDescent="0.55000000000000004">
      <c r="A133" s="115" t="s">
        <v>245</v>
      </c>
      <c r="B133" s="110">
        <v>2458.7100000000009</v>
      </c>
      <c r="C133" s="69">
        <f>C114-C30</f>
        <v>2458.7100000000009</v>
      </c>
      <c r="D133" s="67">
        <v>3636.6000000000013</v>
      </c>
      <c r="E133" s="69">
        <f>E114-E30</f>
        <v>1626.05</v>
      </c>
      <c r="F133" s="67">
        <v>436.05000000000007</v>
      </c>
      <c r="G133" s="69">
        <f>G114-G30</f>
        <v>-288.74999999999983</v>
      </c>
      <c r="H133" s="67">
        <v>508.54999999999984</v>
      </c>
      <c r="I133" s="69">
        <f>I114-I30</f>
        <v>-839.36</v>
      </c>
      <c r="J133" s="67">
        <v>-136.45000000000016</v>
      </c>
      <c r="K133" s="69">
        <f>K114-K30</f>
        <v>-347.95</v>
      </c>
      <c r="L133" s="67">
        <v>-1148.9499999999998</v>
      </c>
      <c r="M133" s="69">
        <f>M114-M30</f>
        <v>0</v>
      </c>
      <c r="N133" s="67">
        <v>1211.05</v>
      </c>
      <c r="O133" s="69">
        <f>O114-O30</f>
        <v>0</v>
      </c>
      <c r="P133" s="67">
        <v>213.54999999999987</v>
      </c>
      <c r="Q133" s="69">
        <f>Q114-Q30</f>
        <v>0</v>
      </c>
      <c r="R133" s="67">
        <v>-1256.4499999999998</v>
      </c>
      <c r="S133" s="69">
        <f>S114-S30</f>
        <v>0</v>
      </c>
      <c r="T133" s="67">
        <v>403.54999999999984</v>
      </c>
      <c r="U133" s="69">
        <f>U114-U30</f>
        <v>0</v>
      </c>
      <c r="V133" s="67">
        <v>511.05000000000007</v>
      </c>
      <c r="W133" s="69">
        <f>W114-W30</f>
        <v>0</v>
      </c>
      <c r="X133" s="67">
        <v>-1158.9500000000003</v>
      </c>
      <c r="Y133" s="69">
        <f>Y114-Y30</f>
        <v>0</v>
      </c>
      <c r="AC133"/>
      <c r="AF133" s="62"/>
      <c r="AG133"/>
      <c r="AH133"/>
      <c r="AI133"/>
      <c r="AN133" s="55"/>
      <c r="AQ133"/>
    </row>
    <row r="134" spans="1:43" ht="14.4" x14ac:dyDescent="0.55000000000000004">
      <c r="A134" s="114" t="s">
        <v>246</v>
      </c>
      <c r="B134" s="256">
        <f>SUM(B131:B133)</f>
        <v>3717.880000000001</v>
      </c>
      <c r="C134" s="254">
        <f t="shared" ref="C134:X134" si="81">SUM(C131:C133)</f>
        <v>3717.880000000001</v>
      </c>
      <c r="D134" s="257">
        <f t="shared" ca="1" si="81"/>
        <v>8354.4800000000032</v>
      </c>
      <c r="E134" s="254">
        <f t="shared" si="81"/>
        <v>6343.9300000000012</v>
      </c>
      <c r="F134" s="257">
        <f t="shared" ca="1" si="81"/>
        <v>6790.5300000000034</v>
      </c>
      <c r="G134" s="254">
        <f t="shared" ref="G134" ca="1" si="82">SUM(G131:G133)</f>
        <v>6055.1800000000012</v>
      </c>
      <c r="H134" s="257">
        <f t="shared" ca="1" si="81"/>
        <v>6299.0800000000036</v>
      </c>
      <c r="I134" s="254">
        <f t="shared" ref="I134" ca="1" si="83">SUM(I131:I133)</f>
        <v>5215.8200000000015</v>
      </c>
      <c r="J134" s="257">
        <f t="shared" ca="1" si="81"/>
        <v>6162.6300000000037</v>
      </c>
      <c r="K134" s="254">
        <f t="shared" ref="K134" ca="1" si="84">SUM(K131:K133)</f>
        <v>4867.8700000000017</v>
      </c>
      <c r="L134" s="257">
        <f t="shared" ca="1" si="81"/>
        <v>3718.9200000000019</v>
      </c>
      <c r="M134" s="254">
        <f t="shared" ref="M134" si="85">SUM(M131:M133)</f>
        <v>0</v>
      </c>
      <c r="N134" s="257">
        <f t="shared" ca="1" si="81"/>
        <v>3929.9700000000021</v>
      </c>
      <c r="O134" s="254">
        <f t="shared" ref="O134" si="86">SUM(O131:O133)</f>
        <v>0</v>
      </c>
      <c r="P134" s="257">
        <f t="shared" ca="1" si="81"/>
        <v>4143.5200000000023</v>
      </c>
      <c r="Q134" s="254">
        <f t="shared" ref="Q134" si="87">SUM(Q131:Q133)</f>
        <v>0</v>
      </c>
      <c r="R134" s="257">
        <f t="shared" ca="1" si="81"/>
        <v>2887.0700000000024</v>
      </c>
      <c r="S134" s="254">
        <f t="shared" ref="S134" si="88">SUM(S131:S133)</f>
        <v>0</v>
      </c>
      <c r="T134" s="257">
        <f t="shared" ca="1" si="81"/>
        <v>3290.6200000000022</v>
      </c>
      <c r="U134" s="254">
        <f t="shared" ref="U134" si="89">SUM(U131:U133)</f>
        <v>0</v>
      </c>
      <c r="V134" s="257">
        <f t="shared" ca="1" si="81"/>
        <v>3801.6700000000023</v>
      </c>
      <c r="W134" s="254">
        <f t="shared" ref="W134" si="90">SUM(W131:W133)</f>
        <v>0</v>
      </c>
      <c r="X134" s="257">
        <f t="shared" ca="1" si="81"/>
        <v>2642.7200000000021</v>
      </c>
      <c r="Y134" s="254">
        <f t="shared" ref="Y134" si="91">SUM(Y131:Y133)</f>
        <v>0</v>
      </c>
      <c r="AC134"/>
      <c r="AF134" s="62"/>
      <c r="AG134"/>
      <c r="AH134"/>
      <c r="AI134"/>
      <c r="AN134" s="55"/>
      <c r="AQ134"/>
    </row>
    <row r="135" spans="1:43" ht="14.4" x14ac:dyDescent="0.55000000000000004">
      <c r="A135" s="115" t="s">
        <v>247</v>
      </c>
      <c r="B135" s="110">
        <v>16407.509999999998</v>
      </c>
      <c r="C135" s="69">
        <v>16407.509999999998</v>
      </c>
      <c r="D135" s="180">
        <f ca="1">IF(AND(D$119="",ISBLANK(B$119)=FALSE),C138,B138)</f>
        <v>16422.71</v>
      </c>
      <c r="E135" s="69">
        <f>C138</f>
        <v>16422.71</v>
      </c>
      <c r="F135" s="180">
        <f ca="1">IF(AND(F$119="",ISBLANK(D$119)=FALSE),E138,D138)</f>
        <v>15437</v>
      </c>
      <c r="G135" s="69">
        <f ca="1">IF(ISBLANK(E$119)=FALSE,E138,0)</f>
        <v>15435.699999999999</v>
      </c>
      <c r="H135" s="180">
        <f ca="1">IF(AND(H$119="",ISBLANK(F$119)=FALSE),G138,F138)</f>
        <v>17453.150000000001</v>
      </c>
      <c r="I135" s="69">
        <f ca="1">IF(ISBLANK(G$119)=FALSE,G138,0)</f>
        <v>15449.999999999998</v>
      </c>
      <c r="J135" s="180">
        <f ca="1">IF(AND(J$119="",ISBLANK(H$119)=FALSE),I138,H138)</f>
        <v>18470.25</v>
      </c>
      <c r="K135" s="69">
        <f ca="1">IF(ISBLANK(I$119)=FALSE,I138,0)</f>
        <v>15463.849999999999</v>
      </c>
      <c r="L135" s="180">
        <f ca="1">IF(AND(L$119="",ISBLANK(J$119)=FALSE),K138,J138)</f>
        <v>15478.169999999998</v>
      </c>
      <c r="M135" s="69">
        <f>IF(ISBLANK(K$119)=FALSE,K138,0)</f>
        <v>0</v>
      </c>
      <c r="N135" s="180">
        <f ca="1">IF(AND(N$119="",ISBLANK(L$119)=FALSE),M138,L138)</f>
        <v>15495.299999999997</v>
      </c>
      <c r="O135" s="69">
        <f>IF(ISBLANK(M$119)=FALSE,M138,0)</f>
        <v>0</v>
      </c>
      <c r="P135" s="180">
        <f ca="1">IF(AND(P$119="",ISBLANK(N$119)=FALSE),O138,N138)</f>
        <v>16513.369999999995</v>
      </c>
      <c r="Q135" s="69">
        <f>IF(ISBLANK(O$119)=FALSE,O138,0)</f>
        <v>0</v>
      </c>
      <c r="R135" s="180">
        <f ca="1">IF(AND(R$119="",ISBLANK(P$119)=FALSE),Q138,P138)</f>
        <v>16531.459999999995</v>
      </c>
      <c r="S135" s="69">
        <f>IF(ISBLANK(Q$119)=FALSE,Q138,0)</f>
        <v>0</v>
      </c>
      <c r="T135" s="180">
        <f ca="1">IF(AND(T$119="",ISBLANK(R$119)=FALSE),S138,R138)</f>
        <v>16549.559999999994</v>
      </c>
      <c r="U135" s="69">
        <f>IF(ISBLANK(S$119)=FALSE,S138,0)</f>
        <v>0</v>
      </c>
      <c r="V135" s="180">
        <f ca="1">IF(AND(V$119="",ISBLANK(T$119)=FALSE),U138,T138)</f>
        <v>16567.679999999993</v>
      </c>
      <c r="W135" s="69">
        <f>IF(ISBLANK(U$119)=FALSE,U138,0)</f>
        <v>0</v>
      </c>
      <c r="X135" s="180">
        <f ca="1">IF(AND(X$119="",ISBLANK(V$119)=FALSE),W138,V138)</f>
        <v>16585.819999999992</v>
      </c>
      <c r="Y135" s="69">
        <f>IF(ISBLANK(W$119)=FALSE,W138,0)</f>
        <v>0</v>
      </c>
      <c r="AC135"/>
      <c r="AF135" s="62"/>
      <c r="AG135"/>
      <c r="AH135"/>
      <c r="AI135"/>
      <c r="AN135" s="55"/>
      <c r="AQ135"/>
    </row>
    <row r="136" spans="1:43" ht="14.4" x14ac:dyDescent="0.55000000000000004">
      <c r="A136" s="115" t="s">
        <v>248</v>
      </c>
      <c r="B136" s="110"/>
      <c r="C136" s="69"/>
      <c r="D136" s="67">
        <v>-1000</v>
      </c>
      <c r="E136" s="69">
        <v>-1000</v>
      </c>
      <c r="F136" s="67">
        <v>2000</v>
      </c>
      <c r="G136" s="69"/>
      <c r="H136" s="67">
        <v>1000</v>
      </c>
      <c r="I136" s="69"/>
      <c r="J136" s="67"/>
      <c r="K136" s="69"/>
      <c r="L136" s="67"/>
      <c r="M136" s="69"/>
      <c r="N136" s="67">
        <v>1000</v>
      </c>
      <c r="O136" s="69"/>
      <c r="P136" s="67"/>
      <c r="Q136" s="69"/>
      <c r="R136" s="67"/>
      <c r="S136" s="69"/>
      <c r="T136" s="67"/>
      <c r="U136" s="69"/>
      <c r="V136" s="67"/>
      <c r="W136" s="69"/>
      <c r="X136" s="67"/>
      <c r="Y136" s="69"/>
      <c r="AC136"/>
      <c r="AF136" s="62"/>
      <c r="AG136"/>
      <c r="AH136"/>
      <c r="AI136"/>
      <c r="AN136" s="55"/>
      <c r="AQ136"/>
    </row>
    <row r="137" spans="1:43" ht="14.4" x14ac:dyDescent="0.55000000000000004">
      <c r="A137" s="115" t="s">
        <v>249</v>
      </c>
      <c r="B137" s="110">
        <v>15.2</v>
      </c>
      <c r="C137" s="69">
        <f>C30</f>
        <v>15.2</v>
      </c>
      <c r="D137" s="67">
        <v>14.29</v>
      </c>
      <c r="E137" s="69">
        <f>E30</f>
        <v>12.99</v>
      </c>
      <c r="F137" s="67">
        <v>16.149999999999999</v>
      </c>
      <c r="G137" s="69">
        <f>G30</f>
        <v>14.3</v>
      </c>
      <c r="H137" s="67">
        <v>17.100000000000001</v>
      </c>
      <c r="I137" s="69">
        <f>I30</f>
        <v>13.85</v>
      </c>
      <c r="J137" s="67">
        <v>17.11</v>
      </c>
      <c r="K137" s="69">
        <f>K30</f>
        <v>14.32</v>
      </c>
      <c r="L137" s="67">
        <v>17.13</v>
      </c>
      <c r="M137" s="69">
        <f>M30</f>
        <v>0</v>
      </c>
      <c r="N137" s="67">
        <v>18.07</v>
      </c>
      <c r="O137" s="69">
        <f>O30</f>
        <v>0</v>
      </c>
      <c r="P137" s="67">
        <v>18.09</v>
      </c>
      <c r="Q137" s="69">
        <f>Q30</f>
        <v>0</v>
      </c>
      <c r="R137" s="67">
        <v>18.100000000000001</v>
      </c>
      <c r="S137" s="69">
        <f>S30</f>
        <v>0</v>
      </c>
      <c r="T137" s="67">
        <v>18.12</v>
      </c>
      <c r="U137" s="69">
        <f>U30</f>
        <v>0</v>
      </c>
      <c r="V137" s="67">
        <v>18.14</v>
      </c>
      <c r="W137" s="69">
        <f>W30</f>
        <v>0</v>
      </c>
      <c r="X137" s="67">
        <v>18.149999999999999</v>
      </c>
      <c r="Y137" s="69">
        <f>Y30</f>
        <v>0</v>
      </c>
      <c r="AC137"/>
      <c r="AF137" s="62"/>
      <c r="AG137"/>
      <c r="AH137"/>
      <c r="AI137"/>
      <c r="AN137" s="55"/>
      <c r="AQ137"/>
    </row>
    <row r="138" spans="1:43" ht="15" customHeight="1" x14ac:dyDescent="0.55000000000000004">
      <c r="A138" s="114" t="s">
        <v>250</v>
      </c>
      <c r="B138" s="256">
        <f>SUM(B135:B137)</f>
        <v>16422.71</v>
      </c>
      <c r="C138" s="254">
        <f t="shared" ref="C138:Y138" si="92">SUM(C135:C137)</f>
        <v>16422.71</v>
      </c>
      <c r="D138" s="257">
        <f t="shared" ca="1" si="92"/>
        <v>15437</v>
      </c>
      <c r="E138" s="254">
        <f t="shared" si="92"/>
        <v>15435.699999999999</v>
      </c>
      <c r="F138" s="257">
        <f t="shared" ca="1" si="92"/>
        <v>17453.150000000001</v>
      </c>
      <c r="G138" s="254">
        <f t="shared" ca="1" si="92"/>
        <v>15449.999999999998</v>
      </c>
      <c r="H138" s="257">
        <f t="shared" ca="1" si="92"/>
        <v>18470.25</v>
      </c>
      <c r="I138" s="254">
        <f t="shared" ca="1" si="92"/>
        <v>15463.849999999999</v>
      </c>
      <c r="J138" s="257">
        <f t="shared" ca="1" si="92"/>
        <v>18487.36</v>
      </c>
      <c r="K138" s="258">
        <f t="shared" ca="1" si="92"/>
        <v>15478.169999999998</v>
      </c>
      <c r="L138" s="257">
        <f t="shared" ca="1" si="92"/>
        <v>15495.299999999997</v>
      </c>
      <c r="M138" s="254">
        <f t="shared" si="92"/>
        <v>0</v>
      </c>
      <c r="N138" s="257">
        <f t="shared" ca="1" si="92"/>
        <v>16513.369999999995</v>
      </c>
      <c r="O138" s="254">
        <f t="shared" si="92"/>
        <v>0</v>
      </c>
      <c r="P138" s="257">
        <f t="shared" ca="1" si="92"/>
        <v>16531.459999999995</v>
      </c>
      <c r="Q138" s="254">
        <f t="shared" si="92"/>
        <v>0</v>
      </c>
      <c r="R138" s="257">
        <f t="shared" ca="1" si="92"/>
        <v>16549.559999999994</v>
      </c>
      <c r="S138" s="254">
        <f t="shared" si="92"/>
        <v>0</v>
      </c>
      <c r="T138" s="257">
        <f t="shared" ca="1" si="92"/>
        <v>16567.679999999993</v>
      </c>
      <c r="U138" s="258">
        <f t="shared" si="92"/>
        <v>0</v>
      </c>
      <c r="V138" s="257">
        <f t="shared" ca="1" si="92"/>
        <v>16585.819999999992</v>
      </c>
      <c r="W138" s="254">
        <f t="shared" si="92"/>
        <v>0</v>
      </c>
      <c r="X138" s="257">
        <f t="shared" ca="1" si="92"/>
        <v>16603.969999999994</v>
      </c>
      <c r="Y138" s="259">
        <f t="shared" si="92"/>
        <v>0</v>
      </c>
      <c r="AC138"/>
      <c r="AF138" s="62"/>
      <c r="AG138"/>
      <c r="AH138"/>
      <c r="AI138"/>
      <c r="AN138" s="55"/>
      <c r="AQ138"/>
    </row>
    <row r="139" spans="1:43" ht="15" customHeight="1" x14ac:dyDescent="0.55000000000000004">
      <c r="A139" s="116" t="s">
        <v>251</v>
      </c>
      <c r="B139" s="181">
        <f>SUM(B130,B134,B138)</f>
        <v>20650.59</v>
      </c>
      <c r="C139" s="181">
        <f t="shared" ref="C139:Y139" si="93">SUM(C130,C134,C138)</f>
        <v>20650.59</v>
      </c>
      <c r="D139" s="181">
        <f t="shared" ca="1" si="93"/>
        <v>24301.480000000003</v>
      </c>
      <c r="E139" s="181">
        <f t="shared" si="93"/>
        <v>22289.63</v>
      </c>
      <c r="F139" s="181">
        <f t="shared" ca="1" si="93"/>
        <v>24753.680000000004</v>
      </c>
      <c r="G139" s="181">
        <f t="shared" ca="1" si="93"/>
        <v>22015.18</v>
      </c>
      <c r="H139" s="181">
        <f t="shared" ca="1" si="93"/>
        <v>25279.33</v>
      </c>
      <c r="I139" s="181">
        <f t="shared" ca="1" si="93"/>
        <v>21189.67</v>
      </c>
      <c r="J139" s="181">
        <f t="shared" ca="1" si="93"/>
        <v>25159.990000000005</v>
      </c>
      <c r="K139" s="181">
        <f t="shared" ca="1" si="93"/>
        <v>20856.04</v>
      </c>
      <c r="L139" s="181">
        <f t="shared" ca="1" si="93"/>
        <v>19724.22</v>
      </c>
      <c r="M139" s="181">
        <f t="shared" si="93"/>
        <v>0</v>
      </c>
      <c r="N139" s="181">
        <f t="shared" ca="1" si="93"/>
        <v>20953.339999999997</v>
      </c>
      <c r="O139" s="181">
        <f t="shared" si="93"/>
        <v>0</v>
      </c>
      <c r="P139" s="181">
        <f t="shared" ca="1" si="93"/>
        <v>21184.979999999996</v>
      </c>
      <c r="Q139" s="181">
        <f t="shared" si="93"/>
        <v>0</v>
      </c>
      <c r="R139" s="181">
        <f t="shared" ca="1" si="93"/>
        <v>19946.629999999997</v>
      </c>
      <c r="S139" s="181">
        <f t="shared" si="93"/>
        <v>0</v>
      </c>
      <c r="T139" s="181">
        <f t="shared" ca="1" si="93"/>
        <v>20368.299999999996</v>
      </c>
      <c r="U139" s="181">
        <f t="shared" si="93"/>
        <v>0</v>
      </c>
      <c r="V139" s="181">
        <f t="shared" ca="1" si="93"/>
        <v>20897.489999999994</v>
      </c>
      <c r="W139" s="181">
        <f t="shared" si="93"/>
        <v>0</v>
      </c>
      <c r="X139" s="181">
        <f t="shared" ca="1" si="93"/>
        <v>19756.689999999995</v>
      </c>
      <c r="Y139" s="182">
        <f t="shared" si="93"/>
        <v>0</v>
      </c>
      <c r="AC139"/>
      <c r="AF139" s="62"/>
      <c r="AG139"/>
      <c r="AH139"/>
      <c r="AI139"/>
      <c r="AN139" s="55"/>
      <c r="AQ139"/>
    </row>
    <row r="140" spans="1:43" ht="15" customHeight="1" x14ac:dyDescent="0.55000000000000004">
      <c r="AC140"/>
      <c r="AF140" s="62"/>
      <c r="AG140"/>
      <c r="AH140"/>
      <c r="AI140"/>
      <c r="AN140" s="55"/>
      <c r="AQ140"/>
    </row>
    <row r="141" spans="1:43" ht="15" customHeight="1" x14ac:dyDescent="0.55000000000000004">
      <c r="A141" s="113" t="s">
        <v>236</v>
      </c>
      <c r="B141" s="113"/>
      <c r="C141" s="113"/>
      <c r="D141" s="113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  <c r="S141" s="113"/>
      <c r="T141" s="113"/>
      <c r="U141" s="113"/>
      <c r="V141" s="113"/>
      <c r="W141" s="113"/>
      <c r="X141" s="113"/>
      <c r="Y141" s="113"/>
      <c r="AC141"/>
      <c r="AF141" s="62"/>
      <c r="AG141"/>
      <c r="AH141"/>
      <c r="AI141"/>
      <c r="AN141" s="55"/>
      <c r="AQ141"/>
    </row>
    <row r="142" spans="1:43" ht="15" customHeight="1" x14ac:dyDescent="0.55000000000000004">
      <c r="A142" s="118" t="s">
        <v>252</v>
      </c>
      <c r="B142" s="126">
        <f>(B134+B138)/($Z$113/12)</f>
        <v>11.49613691075581</v>
      </c>
      <c r="C142" s="126">
        <f>(C134+C138)/($Z$113/12)</f>
        <v>11.49613691075581</v>
      </c>
      <c r="D142" s="126">
        <f t="shared" ref="D142:Y142" ca="1" si="94">(D134+D138)/($Z$113/12)</f>
        <v>13.580044645638914</v>
      </c>
      <c r="E142" s="126">
        <f t="shared" si="94"/>
        <v>12.431691839494501</v>
      </c>
      <c r="F142" s="126">
        <f t="shared" ca="1" si="94"/>
        <v>13.838157894110969</v>
      </c>
      <c r="G142" s="126">
        <f t="shared" ca="1" si="94"/>
        <v>12.275037303795353</v>
      </c>
      <c r="H142" s="126">
        <f t="shared" ca="1" si="94"/>
        <v>14.138195994640238</v>
      </c>
      <c r="I142" s="126">
        <f t="shared" ca="1" si="94"/>
        <v>11.803840780694586</v>
      </c>
      <c r="J142" s="126">
        <f t="shared" ca="1" si="94"/>
        <v>14.070077385457013</v>
      </c>
      <c r="K142" s="126">
        <f t="shared" ca="1" si="94"/>
        <v>11.613406629682355</v>
      </c>
      <c r="L142" s="126">
        <f t="shared" ca="1" si="94"/>
        <v>10.967370059833526</v>
      </c>
      <c r="M142" s="126">
        <f t="shared" si="94"/>
        <v>0</v>
      </c>
      <c r="N142" s="126">
        <f t="shared" ca="1" si="94"/>
        <v>11.668944929276185</v>
      </c>
      <c r="O142" s="126">
        <f t="shared" si="94"/>
        <v>0</v>
      </c>
      <c r="P142" s="126">
        <f t="shared" ca="1" si="94"/>
        <v>11.801163754742939</v>
      </c>
      <c r="Q142" s="126">
        <f t="shared" si="94"/>
        <v>0</v>
      </c>
      <c r="R142" s="126">
        <f t="shared" ca="1" si="94"/>
        <v>11.094320452563885</v>
      </c>
      <c r="S142" s="126">
        <f t="shared" si="94"/>
        <v>0</v>
      </c>
      <c r="T142" s="126">
        <f t="shared" ca="1" si="94"/>
        <v>11.335007346600177</v>
      </c>
      <c r="U142" s="126">
        <f t="shared" si="94"/>
        <v>0</v>
      </c>
      <c r="V142" s="126">
        <f t="shared" ca="1" si="94"/>
        <v>11.637066059468212</v>
      </c>
      <c r="W142" s="126">
        <f t="shared" si="94"/>
        <v>0</v>
      </c>
      <c r="X142" s="126">
        <f t="shared" ca="1" si="94"/>
        <v>10.985903755494485</v>
      </c>
      <c r="Y142" s="126">
        <f t="shared" si="94"/>
        <v>0</v>
      </c>
      <c r="AC142"/>
      <c r="AF142" s="62"/>
      <c r="AG142"/>
      <c r="AH142"/>
      <c r="AI142"/>
      <c r="AN142" s="55"/>
      <c r="AQ142"/>
    </row>
    <row r="143" spans="1:43" ht="15" customHeight="1" x14ac:dyDescent="0.55000000000000004">
      <c r="D143" s="128"/>
      <c r="E143" s="128"/>
      <c r="F143" s="128"/>
      <c r="G143" s="128"/>
      <c r="H143" s="128"/>
      <c r="I143" s="128"/>
      <c r="J143" s="128"/>
      <c r="K143" s="128"/>
      <c r="L143" s="128"/>
    </row>
    <row r="145" spans="5:5" ht="15" customHeight="1" x14ac:dyDescent="0.55000000000000004">
      <c r="E145" s="128"/>
    </row>
    <row r="146" spans="5:5" ht="15" customHeight="1" x14ac:dyDescent="0.55000000000000004">
      <c r="E146" s="128"/>
    </row>
  </sheetData>
  <mergeCells count="5">
    <mergeCell ref="Z5:AA5"/>
    <mergeCell ref="AC5:AD5"/>
    <mergeCell ref="B5:Y5"/>
    <mergeCell ref="B127:Y127"/>
    <mergeCell ref="AG5:AH5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804FA-A2F3-4DDD-B7DD-8D7BF2489682}">
  <sheetPr>
    <tabColor theme="0" tint="-0.249977111117893"/>
  </sheetPr>
  <dimension ref="A1:B3"/>
  <sheetViews>
    <sheetView workbookViewId="0">
      <selection activeCell="A2" sqref="A2"/>
    </sheetView>
  </sheetViews>
  <sheetFormatPr defaultRowHeight="14.4" x14ac:dyDescent="0.55000000000000004"/>
  <cols>
    <col min="1" max="1" width="15.578125" customWidth="1"/>
    <col min="2" max="2" width="13.15625" customWidth="1"/>
  </cols>
  <sheetData>
    <row r="1" spans="1:2" x14ac:dyDescent="0.55000000000000004">
      <c r="A1" s="98" t="s">
        <v>253</v>
      </c>
      <c r="B1" s="98" t="s">
        <v>254</v>
      </c>
    </row>
    <row r="2" spans="1:2" x14ac:dyDescent="0.55000000000000004">
      <c r="A2" s="99">
        <v>5</v>
      </c>
      <c r="B2" s="96">
        <v>2025</v>
      </c>
    </row>
    <row r="3" spans="1:2" x14ac:dyDescent="0.55000000000000004">
      <c r="A3" s="97"/>
      <c r="B3" s="97"/>
    </row>
  </sheetData>
  <dataValidations count="1">
    <dataValidation type="list" allowBlank="1" showInputMessage="1" showErrorMessage="1" sqref="A2" xr:uid="{0690CC5D-B669-45FE-A766-BB9936DFF0A6}">
      <formula1>"1,2,3,4,5,6,7,8,9,10,11,12"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A427E-256A-40F0-B641-03A7C2DBEA2E}">
  <dimension ref="A1:BY112"/>
  <sheetViews>
    <sheetView showGridLines="0" topLeftCell="A63" workbookViewId="0">
      <selection activeCell="C48" sqref="C48"/>
    </sheetView>
  </sheetViews>
  <sheetFormatPr defaultRowHeight="14.4" x14ac:dyDescent="0.55000000000000004"/>
  <cols>
    <col min="1" max="1" width="36.578125" bestFit="1" customWidth="1"/>
    <col min="2" max="2" width="10.26171875" bestFit="1" customWidth="1"/>
    <col min="3" max="4" width="10.15625" bestFit="1" customWidth="1"/>
    <col min="5" max="6" width="10.26171875" bestFit="1" customWidth="1"/>
    <col min="7" max="8" width="9.41796875" bestFit="1" customWidth="1"/>
    <col min="9" max="10" width="10.26171875" bestFit="1" customWidth="1"/>
    <col min="11" max="11" width="11.15625" bestFit="1" customWidth="1"/>
    <col min="12" max="12" width="10.15625" bestFit="1" customWidth="1"/>
    <col min="13" max="14" width="10.26171875" bestFit="1" customWidth="1"/>
    <col min="15" max="76" width="10.26171875" style="55" customWidth="1"/>
    <col min="77" max="77" width="45" customWidth="1"/>
  </cols>
  <sheetData>
    <row r="1" spans="1:77" s="46" customFormat="1" ht="19.2" x14ac:dyDescent="0.7">
      <c r="A1" s="46" t="s">
        <v>25</v>
      </c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</row>
    <row r="2" spans="1:77" s="46" customFormat="1" ht="19.2" x14ac:dyDescent="0.7">
      <c r="A2" s="47" t="s">
        <v>255</v>
      </c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</row>
    <row r="4" spans="1:77" s="22" customFormat="1" ht="16.2" x14ac:dyDescent="0.6">
      <c r="A4" s="21"/>
      <c r="B4" s="275" t="s">
        <v>255</v>
      </c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4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2"/>
      <c r="BP4" s="52"/>
      <c r="BQ4" s="52"/>
      <c r="BR4" s="52"/>
      <c r="BS4" s="52"/>
      <c r="BT4" s="52"/>
      <c r="BU4" s="52"/>
      <c r="BV4" s="52"/>
      <c r="BW4" s="52"/>
      <c r="BX4" s="52"/>
    </row>
    <row r="5" spans="1:77" s="24" customFormat="1" ht="16.2" x14ac:dyDescent="0.6">
      <c r="A5" s="23"/>
      <c r="B5" s="39" t="s">
        <v>74</v>
      </c>
      <c r="C5" s="40" t="s">
        <v>75</v>
      </c>
      <c r="D5" s="40" t="s">
        <v>76</v>
      </c>
      <c r="E5" s="40" t="s">
        <v>77</v>
      </c>
      <c r="F5" s="40" t="s">
        <v>78</v>
      </c>
      <c r="G5" s="40" t="s">
        <v>79</v>
      </c>
      <c r="H5" s="40" t="s">
        <v>80</v>
      </c>
      <c r="I5" s="40" t="s">
        <v>81</v>
      </c>
      <c r="J5" s="40" t="s">
        <v>82</v>
      </c>
      <c r="K5" s="40" t="s">
        <v>83</v>
      </c>
      <c r="L5" s="40" t="s">
        <v>84</v>
      </c>
      <c r="M5" s="41" t="s">
        <v>85</v>
      </c>
      <c r="N5" s="44">
        <v>2023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</row>
    <row r="6" spans="1:77" s="24" customFormat="1" ht="16.2" x14ac:dyDescent="0.6">
      <c r="A6" s="23"/>
      <c r="B6" s="31" t="s">
        <v>87</v>
      </c>
      <c r="C6" s="32" t="s">
        <v>86</v>
      </c>
      <c r="D6" s="32" t="s">
        <v>86</v>
      </c>
      <c r="E6" s="32" t="s">
        <v>86</v>
      </c>
      <c r="F6" s="32" t="s">
        <v>86</v>
      </c>
      <c r="G6" s="32" t="s">
        <v>86</v>
      </c>
      <c r="H6" s="32" t="s">
        <v>86</v>
      </c>
      <c r="I6" s="32" t="s">
        <v>86</v>
      </c>
      <c r="J6" s="32" t="s">
        <v>86</v>
      </c>
      <c r="K6" s="32" t="s">
        <v>86</v>
      </c>
      <c r="L6" s="32" t="s">
        <v>86</v>
      </c>
      <c r="M6" s="43" t="s">
        <v>86</v>
      </c>
      <c r="N6" s="42" t="s">
        <v>256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</row>
    <row r="7" spans="1:77" x14ac:dyDescent="0.55000000000000004">
      <c r="A7" s="1" t="s">
        <v>9</v>
      </c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26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</row>
    <row r="8" spans="1:77" x14ac:dyDescent="0.55000000000000004">
      <c r="A8" s="12" t="s">
        <v>89</v>
      </c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4"/>
      <c r="N8" s="27">
        <f>SUM(B8:M8)</f>
        <v>0</v>
      </c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</row>
    <row r="9" spans="1:77" x14ac:dyDescent="0.55000000000000004">
      <c r="A9" s="13" t="s">
        <v>90</v>
      </c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  <c r="N9" s="28">
        <f t="shared" ref="N9:N35" si="0">SUM(B9:M9)</f>
        <v>0</v>
      </c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</row>
    <row r="10" spans="1:77" x14ac:dyDescent="0.55000000000000004">
      <c r="A10" s="13" t="s">
        <v>91</v>
      </c>
      <c r="B10" s="5"/>
      <c r="C10" s="6"/>
      <c r="D10" s="6"/>
      <c r="E10" s="6"/>
      <c r="F10" s="6"/>
      <c r="G10" s="6"/>
      <c r="H10" s="6"/>
      <c r="I10" s="6"/>
      <c r="J10" s="6"/>
      <c r="K10" s="6"/>
      <c r="L10" s="6">
        <v>10000</v>
      </c>
      <c r="M10" s="37">
        <v>10000</v>
      </c>
      <c r="N10" s="28">
        <f t="shared" si="0"/>
        <v>20000</v>
      </c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25"/>
    </row>
    <row r="11" spans="1:77" x14ac:dyDescent="0.55000000000000004">
      <c r="A11" s="13" t="s">
        <v>92</v>
      </c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7"/>
      <c r="N11" s="28">
        <f t="shared" si="0"/>
        <v>0</v>
      </c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</row>
    <row r="12" spans="1:77" x14ac:dyDescent="0.55000000000000004">
      <c r="A12" s="13" t="s">
        <v>93</v>
      </c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7"/>
      <c r="N12" s="28">
        <f t="shared" si="0"/>
        <v>0</v>
      </c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</row>
    <row r="13" spans="1:77" x14ac:dyDescent="0.55000000000000004">
      <c r="A13" s="12" t="s">
        <v>94</v>
      </c>
      <c r="B13" s="2">
        <f t="shared" ref="B13:M13" si="1">SUM(B9:B12)</f>
        <v>0</v>
      </c>
      <c r="C13" s="3">
        <f t="shared" si="1"/>
        <v>0</v>
      </c>
      <c r="D13" s="3">
        <f t="shared" si="1"/>
        <v>0</v>
      </c>
      <c r="E13" s="3">
        <f t="shared" si="1"/>
        <v>0</v>
      </c>
      <c r="F13" s="3">
        <f t="shared" si="1"/>
        <v>0</v>
      </c>
      <c r="G13" s="3">
        <f t="shared" si="1"/>
        <v>0</v>
      </c>
      <c r="H13" s="3">
        <f t="shared" si="1"/>
        <v>0</v>
      </c>
      <c r="I13" s="3">
        <f t="shared" si="1"/>
        <v>0</v>
      </c>
      <c r="J13" s="3">
        <f t="shared" si="1"/>
        <v>0</v>
      </c>
      <c r="K13" s="3">
        <f t="shared" si="1"/>
        <v>0</v>
      </c>
      <c r="L13" s="3">
        <f t="shared" si="1"/>
        <v>10000</v>
      </c>
      <c r="M13" s="4">
        <f t="shared" si="1"/>
        <v>10000</v>
      </c>
      <c r="N13" s="27">
        <f t="shared" si="0"/>
        <v>20000</v>
      </c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</row>
    <row r="14" spans="1:77" x14ac:dyDescent="0.55000000000000004">
      <c r="A14" s="13" t="s">
        <v>95</v>
      </c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7"/>
      <c r="N14" s="28">
        <f t="shared" si="0"/>
        <v>0</v>
      </c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</row>
    <row r="15" spans="1:77" x14ac:dyDescent="0.55000000000000004">
      <c r="A15" s="13" t="s">
        <v>96</v>
      </c>
      <c r="B15" s="48">
        <v>40</v>
      </c>
      <c r="C15" s="49">
        <v>1360.909090909091</v>
      </c>
      <c r="D15" s="49">
        <v>1360.909090909091</v>
      </c>
      <c r="E15" s="49">
        <v>1360.909090909091</v>
      </c>
      <c r="F15" s="49">
        <v>1360.909090909091</v>
      </c>
      <c r="G15" s="49">
        <v>1360.909090909091</v>
      </c>
      <c r="H15" s="49">
        <v>1360.909090909091</v>
      </c>
      <c r="I15" s="49">
        <v>1360.909090909091</v>
      </c>
      <c r="J15" s="49">
        <v>1360.909090909091</v>
      </c>
      <c r="K15" s="49">
        <v>1360.909090909091</v>
      </c>
      <c r="L15" s="49">
        <v>1360.909090909091</v>
      </c>
      <c r="M15" s="50">
        <v>1360.909090909091</v>
      </c>
      <c r="N15" s="28">
        <f t="shared" si="0"/>
        <v>15010.000000000004</v>
      </c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25"/>
    </row>
    <row r="16" spans="1:77" x14ac:dyDescent="0.55000000000000004">
      <c r="A16" s="13" t="s">
        <v>97</v>
      </c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7"/>
      <c r="N16" s="28">
        <f t="shared" si="0"/>
        <v>0</v>
      </c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33"/>
    </row>
    <row r="17" spans="1:77" x14ac:dyDescent="0.55000000000000004">
      <c r="A17" s="13" t="s">
        <v>98</v>
      </c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7"/>
      <c r="N17" s="28">
        <f t="shared" si="0"/>
        <v>0</v>
      </c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</row>
    <row r="18" spans="1:77" x14ac:dyDescent="0.55000000000000004">
      <c r="A18" s="13" t="s">
        <v>99</v>
      </c>
      <c r="B18" s="5"/>
      <c r="C18" s="6"/>
      <c r="D18" s="6"/>
      <c r="E18" s="6"/>
      <c r="F18" s="6"/>
      <c r="G18" s="6"/>
      <c r="H18" s="6"/>
      <c r="I18" s="6"/>
      <c r="J18" s="6"/>
      <c r="K18" s="6"/>
      <c r="L18" s="6"/>
      <c r="M18" s="7"/>
      <c r="N18" s="28">
        <f t="shared" si="0"/>
        <v>0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</row>
    <row r="19" spans="1:77" x14ac:dyDescent="0.55000000000000004">
      <c r="A19" s="13" t="s">
        <v>100</v>
      </c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  <c r="M19" s="7"/>
      <c r="N19" s="28">
        <f t="shared" si="0"/>
        <v>0</v>
      </c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</row>
    <row r="20" spans="1:77" x14ac:dyDescent="0.55000000000000004">
      <c r="A20" s="12" t="s">
        <v>101</v>
      </c>
      <c r="B20" s="2">
        <f t="shared" ref="B20:M20" si="2">SUM(B14:B19)</f>
        <v>40</v>
      </c>
      <c r="C20" s="3">
        <f t="shared" si="2"/>
        <v>1360.909090909091</v>
      </c>
      <c r="D20" s="3">
        <f t="shared" si="2"/>
        <v>1360.909090909091</v>
      </c>
      <c r="E20" s="3">
        <f t="shared" si="2"/>
        <v>1360.909090909091</v>
      </c>
      <c r="F20" s="3">
        <f t="shared" si="2"/>
        <v>1360.909090909091</v>
      </c>
      <c r="G20" s="3">
        <f t="shared" si="2"/>
        <v>1360.909090909091</v>
      </c>
      <c r="H20" s="3">
        <f t="shared" si="2"/>
        <v>1360.909090909091</v>
      </c>
      <c r="I20" s="3">
        <f t="shared" si="2"/>
        <v>1360.909090909091</v>
      </c>
      <c r="J20" s="3">
        <f t="shared" si="2"/>
        <v>1360.909090909091</v>
      </c>
      <c r="K20" s="3">
        <f t="shared" si="2"/>
        <v>1360.909090909091</v>
      </c>
      <c r="L20" s="3">
        <f t="shared" si="2"/>
        <v>1360.909090909091</v>
      </c>
      <c r="M20" s="4">
        <f t="shared" si="2"/>
        <v>1360.909090909091</v>
      </c>
      <c r="N20" s="27">
        <f t="shared" si="0"/>
        <v>15010.000000000004</v>
      </c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</row>
    <row r="21" spans="1:77" x14ac:dyDescent="0.55000000000000004">
      <c r="A21" s="13" t="s">
        <v>102</v>
      </c>
      <c r="B21" s="5"/>
      <c r="C21" s="6"/>
      <c r="D21" s="6"/>
      <c r="E21" s="6"/>
      <c r="F21" s="6"/>
      <c r="G21" s="6"/>
      <c r="H21" s="6"/>
      <c r="I21" s="6"/>
      <c r="J21" s="6"/>
      <c r="K21" s="6"/>
      <c r="L21" s="6"/>
      <c r="M21" s="7"/>
      <c r="N21" s="28">
        <f t="shared" si="0"/>
        <v>0</v>
      </c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</row>
    <row r="22" spans="1:77" x14ac:dyDescent="0.55000000000000004">
      <c r="A22" s="13" t="s">
        <v>104</v>
      </c>
      <c r="B22" s="48">
        <f>220+450</f>
        <v>670</v>
      </c>
      <c r="C22" s="49">
        <v>847.33776859504098</v>
      </c>
      <c r="D22" s="49">
        <v>847.3377685950411</v>
      </c>
      <c r="E22" s="49">
        <v>847.3377685950411</v>
      </c>
      <c r="F22" s="49">
        <v>847.33776859504098</v>
      </c>
      <c r="G22" s="49">
        <v>847.3377685950411</v>
      </c>
      <c r="H22" s="49">
        <v>847.3377685950411</v>
      </c>
      <c r="I22" s="49">
        <v>847.3377685950411</v>
      </c>
      <c r="J22" s="49">
        <v>847.3377685950411</v>
      </c>
      <c r="K22" s="49">
        <v>847.3377685950411</v>
      </c>
      <c r="L22" s="49">
        <v>847.3377685950411</v>
      </c>
      <c r="M22" s="50">
        <v>856.62231404958686</v>
      </c>
      <c r="N22" s="28">
        <f t="shared" si="0"/>
        <v>9999.9999999999982</v>
      </c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36" t="s">
        <v>257</v>
      </c>
    </row>
    <row r="23" spans="1:77" x14ac:dyDescent="0.55000000000000004">
      <c r="A23" s="13" t="s">
        <v>107</v>
      </c>
      <c r="B23" s="5"/>
      <c r="C23" s="6"/>
      <c r="D23" s="6">
        <f>3540/4</f>
        <v>885</v>
      </c>
      <c r="E23" s="6"/>
      <c r="F23" s="6"/>
      <c r="G23" s="6">
        <f>3540/4</f>
        <v>885</v>
      </c>
      <c r="H23" s="6"/>
      <c r="I23" s="6"/>
      <c r="J23" s="6">
        <f>3540/4</f>
        <v>885</v>
      </c>
      <c r="K23" s="6"/>
      <c r="L23" s="6"/>
      <c r="M23" s="6">
        <f>3540/4</f>
        <v>885</v>
      </c>
      <c r="N23" s="28">
        <f t="shared" si="0"/>
        <v>3540</v>
      </c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36" t="s">
        <v>258</v>
      </c>
    </row>
    <row r="24" spans="1:77" x14ac:dyDescent="0.55000000000000004">
      <c r="A24" s="13" t="s">
        <v>259</v>
      </c>
      <c r="B24" s="5"/>
      <c r="C24" s="6"/>
      <c r="D24" s="6"/>
      <c r="E24" s="6"/>
      <c r="F24" s="6"/>
      <c r="G24" s="6"/>
      <c r="H24" s="6"/>
      <c r="I24" s="6"/>
      <c r="J24" s="6"/>
      <c r="K24" s="6"/>
      <c r="L24" s="6"/>
      <c r="M24" s="7"/>
      <c r="N24" s="28">
        <f t="shared" si="0"/>
        <v>0</v>
      </c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</row>
    <row r="25" spans="1:77" x14ac:dyDescent="0.55000000000000004">
      <c r="A25" s="13" t="s">
        <v>113</v>
      </c>
      <c r="B25" s="5"/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  <c r="N25" s="28">
        <f t="shared" si="0"/>
        <v>0</v>
      </c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</row>
    <row r="26" spans="1:77" x14ac:dyDescent="0.55000000000000004">
      <c r="A26" s="13" t="s">
        <v>114</v>
      </c>
      <c r="B26" s="5"/>
      <c r="C26" s="6">
        <f>2040/11</f>
        <v>185.45454545454547</v>
      </c>
      <c r="D26" s="6">
        <f t="shared" ref="D26:M26" si="3">2040/11</f>
        <v>185.45454545454547</v>
      </c>
      <c r="E26" s="6">
        <f t="shared" si="3"/>
        <v>185.45454545454547</v>
      </c>
      <c r="F26" s="6">
        <f t="shared" si="3"/>
        <v>185.45454545454547</v>
      </c>
      <c r="G26" s="6">
        <f t="shared" si="3"/>
        <v>185.45454545454547</v>
      </c>
      <c r="H26" s="6">
        <f t="shared" si="3"/>
        <v>185.45454545454547</v>
      </c>
      <c r="I26" s="6">
        <f t="shared" si="3"/>
        <v>185.45454545454547</v>
      </c>
      <c r="J26" s="6">
        <f t="shared" si="3"/>
        <v>185.45454545454547</v>
      </c>
      <c r="K26" s="6">
        <f t="shared" si="3"/>
        <v>185.45454545454547</v>
      </c>
      <c r="L26" s="6">
        <f t="shared" si="3"/>
        <v>185.45454545454547</v>
      </c>
      <c r="M26" s="7">
        <f t="shared" si="3"/>
        <v>185.45454545454547</v>
      </c>
      <c r="N26" s="28">
        <f t="shared" si="0"/>
        <v>2040.0000000000002</v>
      </c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36" t="s">
        <v>260</v>
      </c>
    </row>
    <row r="27" spans="1:77" x14ac:dyDescent="0.55000000000000004">
      <c r="A27" s="12" t="s">
        <v>117</v>
      </c>
      <c r="B27" s="2">
        <f t="shared" ref="B27:M27" si="4">SUM(B21:B26)</f>
        <v>670</v>
      </c>
      <c r="C27" s="3">
        <f t="shared" si="4"/>
        <v>1032.7923140495864</v>
      </c>
      <c r="D27" s="3">
        <f t="shared" si="4"/>
        <v>1917.7923140495866</v>
      </c>
      <c r="E27" s="3">
        <f t="shared" si="4"/>
        <v>1032.7923140495866</v>
      </c>
      <c r="F27" s="3">
        <f t="shared" si="4"/>
        <v>1032.7923140495864</v>
      </c>
      <c r="G27" s="3">
        <f t="shared" si="4"/>
        <v>1917.7923140495866</v>
      </c>
      <c r="H27" s="3">
        <f t="shared" si="4"/>
        <v>1032.7923140495866</v>
      </c>
      <c r="I27" s="3">
        <f t="shared" si="4"/>
        <v>1032.7923140495866</v>
      </c>
      <c r="J27" s="3">
        <f t="shared" si="4"/>
        <v>1917.7923140495866</v>
      </c>
      <c r="K27" s="3">
        <f t="shared" si="4"/>
        <v>1032.7923140495866</v>
      </c>
      <c r="L27" s="3">
        <f t="shared" si="4"/>
        <v>1032.7923140495866</v>
      </c>
      <c r="M27" s="4">
        <f t="shared" si="4"/>
        <v>1927.0768595041322</v>
      </c>
      <c r="N27" s="27">
        <f t="shared" si="0"/>
        <v>15579.999999999995</v>
      </c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5"/>
    </row>
    <row r="28" spans="1:77" x14ac:dyDescent="0.55000000000000004">
      <c r="A28" s="13" t="s">
        <v>118</v>
      </c>
      <c r="B28" s="5"/>
      <c r="C28" s="6"/>
      <c r="D28" s="6"/>
      <c r="E28" s="6"/>
      <c r="F28" s="6"/>
      <c r="G28" s="6"/>
      <c r="H28" s="6"/>
      <c r="I28" s="6"/>
      <c r="J28" s="6"/>
      <c r="K28" s="6"/>
      <c r="L28" s="6"/>
      <c r="M28" s="7"/>
      <c r="N28" s="28">
        <f t="shared" si="0"/>
        <v>0</v>
      </c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25">
        <f>N27-15580</f>
        <v>0</v>
      </c>
    </row>
    <row r="29" spans="1:77" x14ac:dyDescent="0.55000000000000004">
      <c r="A29" s="13" t="s">
        <v>119</v>
      </c>
      <c r="B29" s="5"/>
      <c r="C29" s="6"/>
      <c r="D29" s="6"/>
      <c r="E29" s="6"/>
      <c r="F29" s="6"/>
      <c r="G29" s="6"/>
      <c r="H29" s="6"/>
      <c r="I29" s="6"/>
      <c r="J29" s="6"/>
      <c r="K29" s="6"/>
      <c r="L29" s="6"/>
      <c r="M29" s="7"/>
      <c r="N29" s="28">
        <f t="shared" si="0"/>
        <v>0</v>
      </c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</row>
    <row r="30" spans="1:77" x14ac:dyDescent="0.55000000000000004">
      <c r="A30" s="13" t="s">
        <v>120</v>
      </c>
      <c r="B30" s="5">
        <v>17.13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7"/>
      <c r="N30" s="28">
        <f t="shared" si="0"/>
        <v>17.13</v>
      </c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</row>
    <row r="31" spans="1:77" x14ac:dyDescent="0.55000000000000004">
      <c r="A31" s="13" t="s">
        <v>122</v>
      </c>
      <c r="B31" s="48">
        <v>256.61</v>
      </c>
      <c r="C31" s="49"/>
      <c r="D31" s="49"/>
      <c r="E31" s="49">
        <v>1130.4633333333334</v>
      </c>
      <c r="F31" s="49"/>
      <c r="G31" s="49"/>
      <c r="H31" s="49">
        <v>1130.4633333333334</v>
      </c>
      <c r="I31" s="49"/>
      <c r="J31" s="49"/>
      <c r="K31" s="49">
        <v>1130.4633333333334</v>
      </c>
      <c r="L31" s="49"/>
      <c r="M31" s="50"/>
      <c r="N31" s="28">
        <f t="shared" si="0"/>
        <v>3648</v>
      </c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36" t="s">
        <v>123</v>
      </c>
    </row>
    <row r="32" spans="1:77" x14ac:dyDescent="0.55000000000000004">
      <c r="A32" s="13" t="s">
        <v>124</v>
      </c>
      <c r="B32" s="5"/>
      <c r="C32" s="6"/>
      <c r="D32" s="6"/>
      <c r="E32" s="6"/>
      <c r="F32" s="6"/>
      <c r="G32" s="6"/>
      <c r="H32" s="6"/>
      <c r="I32" s="6"/>
      <c r="J32" s="6"/>
      <c r="K32" s="6"/>
      <c r="L32" s="6"/>
      <c r="M32" s="7"/>
      <c r="N32" s="28">
        <f t="shared" si="0"/>
        <v>0</v>
      </c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36"/>
    </row>
    <row r="33" spans="1:77" x14ac:dyDescent="0.55000000000000004">
      <c r="A33" s="13" t="s">
        <v>125</v>
      </c>
      <c r="B33" s="5"/>
      <c r="C33" s="6"/>
      <c r="D33" s="6"/>
      <c r="E33" s="6"/>
      <c r="F33" s="6"/>
      <c r="G33" s="6"/>
      <c r="H33" s="6"/>
      <c r="I33" s="6"/>
      <c r="J33" s="6"/>
      <c r="K33" s="6"/>
      <c r="L33" s="6"/>
      <c r="M33" s="7"/>
      <c r="N33" s="28">
        <f t="shared" si="0"/>
        <v>0</v>
      </c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</row>
    <row r="34" spans="1:77" x14ac:dyDescent="0.55000000000000004">
      <c r="A34" s="12" t="s">
        <v>126</v>
      </c>
      <c r="B34" s="2">
        <f>SUM(B28:B33)</f>
        <v>273.74</v>
      </c>
      <c r="C34" s="3">
        <f t="shared" ref="C34:M34" si="5">SUM(C28:C33)</f>
        <v>0</v>
      </c>
      <c r="D34" s="3">
        <f t="shared" si="5"/>
        <v>0</v>
      </c>
      <c r="E34" s="3">
        <f>SUM(E28:E33)</f>
        <v>1130.4633333333334</v>
      </c>
      <c r="F34" s="3">
        <f t="shared" si="5"/>
        <v>0</v>
      </c>
      <c r="G34" s="3">
        <f t="shared" si="5"/>
        <v>0</v>
      </c>
      <c r="H34" s="3">
        <f t="shared" si="5"/>
        <v>1130.4633333333334</v>
      </c>
      <c r="I34" s="3">
        <f t="shared" si="5"/>
        <v>0</v>
      </c>
      <c r="J34" s="3">
        <f t="shared" si="5"/>
        <v>0</v>
      </c>
      <c r="K34" s="3">
        <f t="shared" si="5"/>
        <v>1130.4633333333334</v>
      </c>
      <c r="L34" s="3">
        <f t="shared" si="5"/>
        <v>0</v>
      </c>
      <c r="M34" s="4">
        <f t="shared" si="5"/>
        <v>0</v>
      </c>
      <c r="N34" s="27">
        <f>SUM(B34:M34)</f>
        <v>3665.13</v>
      </c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</row>
    <row r="35" spans="1:77" x14ac:dyDescent="0.55000000000000004">
      <c r="A35" s="13" t="s">
        <v>127</v>
      </c>
      <c r="B35" s="5">
        <v>0.84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7">
        <v>0</v>
      </c>
      <c r="N35" s="28">
        <f t="shared" si="0"/>
        <v>0.84</v>
      </c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</row>
    <row r="36" spans="1:77" x14ac:dyDescent="0.55000000000000004">
      <c r="A36" s="17" t="s">
        <v>128</v>
      </c>
      <c r="B36" s="18">
        <f>B8+B13+B20+B27+B34+B35</f>
        <v>984.58</v>
      </c>
      <c r="C36" s="19">
        <f t="shared" ref="C36:N36" si="6">C8+C13+C20+C27+C34+C35</f>
        <v>2393.7014049586774</v>
      </c>
      <c r="D36" s="19">
        <f t="shared" si="6"/>
        <v>3278.7014049586778</v>
      </c>
      <c r="E36" s="19">
        <f t="shared" si="6"/>
        <v>3524.164738292011</v>
      </c>
      <c r="F36" s="19">
        <f t="shared" si="6"/>
        <v>2393.7014049586774</v>
      </c>
      <c r="G36" s="19">
        <f t="shared" si="6"/>
        <v>3278.7014049586778</v>
      </c>
      <c r="H36" s="19">
        <f t="shared" si="6"/>
        <v>3524.164738292011</v>
      </c>
      <c r="I36" s="19">
        <f t="shared" si="6"/>
        <v>2393.7014049586778</v>
      </c>
      <c r="J36" s="19">
        <f t="shared" si="6"/>
        <v>3278.7014049586778</v>
      </c>
      <c r="K36" s="19">
        <f t="shared" si="6"/>
        <v>3524.164738292011</v>
      </c>
      <c r="L36" s="19">
        <f t="shared" si="6"/>
        <v>12393.701404958678</v>
      </c>
      <c r="M36" s="20">
        <f t="shared" si="6"/>
        <v>13287.985950413224</v>
      </c>
      <c r="N36" s="29">
        <f t="shared" si="6"/>
        <v>54255.969999999987</v>
      </c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25"/>
    </row>
    <row r="37" spans="1:77" x14ac:dyDescent="0.55000000000000004">
      <c r="A37" s="1" t="s">
        <v>129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26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</row>
    <row r="38" spans="1:77" x14ac:dyDescent="0.55000000000000004">
      <c r="A38" s="12" t="s">
        <v>130</v>
      </c>
      <c r="B38" s="2"/>
      <c r="C38" s="3"/>
      <c r="D38" s="3"/>
      <c r="E38" s="3"/>
      <c r="F38" s="3"/>
      <c r="G38" s="3"/>
      <c r="H38" s="3"/>
      <c r="I38" s="3"/>
      <c r="J38" s="3"/>
      <c r="K38" s="3"/>
      <c r="L38" s="3"/>
      <c r="M38" s="4"/>
      <c r="N38" s="27">
        <f t="shared" ref="N38:N101" si="7">SUM(B38:M38)</f>
        <v>0</v>
      </c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</row>
    <row r="39" spans="1:77" x14ac:dyDescent="0.55000000000000004">
      <c r="A39" s="13" t="s">
        <v>131</v>
      </c>
      <c r="B39" s="5"/>
      <c r="C39" s="6"/>
      <c r="D39" s="6"/>
      <c r="E39" s="6"/>
      <c r="F39" s="6"/>
      <c r="G39" s="6"/>
      <c r="H39" s="6"/>
      <c r="I39" s="6"/>
      <c r="J39" s="6"/>
      <c r="K39" s="6"/>
      <c r="L39" s="6"/>
      <c r="M39" s="7"/>
      <c r="N39" s="28">
        <f t="shared" si="7"/>
        <v>0</v>
      </c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</row>
    <row r="40" spans="1:77" x14ac:dyDescent="0.55000000000000004">
      <c r="A40" s="13" t="s">
        <v>132</v>
      </c>
      <c r="B40" s="5"/>
      <c r="C40" s="6"/>
      <c r="D40" s="6"/>
      <c r="E40" s="6"/>
      <c r="F40" s="6"/>
      <c r="G40" s="6"/>
      <c r="H40" s="6"/>
      <c r="I40" s="6"/>
      <c r="J40" s="6"/>
      <c r="K40" s="6"/>
      <c r="L40" s="6"/>
      <c r="M40" s="7"/>
      <c r="N40" s="28">
        <f t="shared" si="7"/>
        <v>0</v>
      </c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</row>
    <row r="41" spans="1:77" x14ac:dyDescent="0.55000000000000004">
      <c r="A41" s="13" t="s">
        <v>133</v>
      </c>
      <c r="B41" s="5"/>
      <c r="C41" s="6"/>
      <c r="D41" s="6"/>
      <c r="E41" s="6"/>
      <c r="F41" s="6"/>
      <c r="G41" s="6"/>
      <c r="H41" s="6"/>
      <c r="I41" s="6"/>
      <c r="J41" s="6"/>
      <c r="K41" s="6"/>
      <c r="L41" s="6"/>
      <c r="M41" s="7"/>
      <c r="N41" s="28">
        <f t="shared" si="7"/>
        <v>0</v>
      </c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</row>
    <row r="42" spans="1:77" x14ac:dyDescent="0.55000000000000004">
      <c r="A42" s="12" t="s">
        <v>134</v>
      </c>
      <c r="B42" s="2">
        <f t="shared" ref="B42:M42" si="8">SUM(B39:B41)</f>
        <v>0</v>
      </c>
      <c r="C42" s="3">
        <f t="shared" si="8"/>
        <v>0</v>
      </c>
      <c r="D42" s="3">
        <f t="shared" si="8"/>
        <v>0</v>
      </c>
      <c r="E42" s="3">
        <f t="shared" si="8"/>
        <v>0</v>
      </c>
      <c r="F42" s="3">
        <f t="shared" si="8"/>
        <v>0</v>
      </c>
      <c r="G42" s="3">
        <f t="shared" si="8"/>
        <v>0</v>
      </c>
      <c r="H42" s="3">
        <f t="shared" si="8"/>
        <v>0</v>
      </c>
      <c r="I42" s="3">
        <f t="shared" si="8"/>
        <v>0</v>
      </c>
      <c r="J42" s="3">
        <f t="shared" si="8"/>
        <v>0</v>
      </c>
      <c r="K42" s="3">
        <f t="shared" si="8"/>
        <v>0</v>
      </c>
      <c r="L42" s="3">
        <f t="shared" si="8"/>
        <v>0</v>
      </c>
      <c r="M42" s="4">
        <f t="shared" si="8"/>
        <v>0</v>
      </c>
      <c r="N42" s="27">
        <f t="shared" si="7"/>
        <v>0</v>
      </c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</row>
    <row r="43" spans="1:77" x14ac:dyDescent="0.55000000000000004">
      <c r="A43" s="13" t="s">
        <v>135</v>
      </c>
      <c r="B43" s="5"/>
      <c r="C43" s="6"/>
      <c r="D43" s="6"/>
      <c r="E43" s="6"/>
      <c r="F43" s="6"/>
      <c r="G43" s="6"/>
      <c r="H43" s="6"/>
      <c r="I43" s="6"/>
      <c r="J43" s="6"/>
      <c r="K43" s="6"/>
      <c r="L43" s="6"/>
      <c r="M43" s="7"/>
      <c r="N43" s="28">
        <f t="shared" si="7"/>
        <v>0</v>
      </c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</row>
    <row r="44" spans="1:77" x14ac:dyDescent="0.55000000000000004">
      <c r="A44" s="13" t="s">
        <v>136</v>
      </c>
      <c r="B44" s="5"/>
      <c r="C44" s="6">
        <v>650</v>
      </c>
      <c r="D44" s="6">
        <v>650</v>
      </c>
      <c r="E44" s="6">
        <v>650</v>
      </c>
      <c r="F44" s="6">
        <v>650</v>
      </c>
      <c r="G44" s="6">
        <v>650</v>
      </c>
      <c r="H44" s="6">
        <v>650</v>
      </c>
      <c r="I44" s="6">
        <v>650</v>
      </c>
      <c r="J44" s="6">
        <v>650</v>
      </c>
      <c r="K44" s="6">
        <v>650</v>
      </c>
      <c r="L44" s="6">
        <v>650</v>
      </c>
      <c r="M44" s="37">
        <v>650</v>
      </c>
      <c r="N44" s="28">
        <f t="shared" si="7"/>
        <v>7150</v>
      </c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</row>
    <row r="45" spans="1:77" x14ac:dyDescent="0.55000000000000004">
      <c r="A45" s="13" t="s">
        <v>137</v>
      </c>
      <c r="B45" s="5"/>
      <c r="C45" s="6"/>
      <c r="D45" s="6"/>
      <c r="E45" s="6"/>
      <c r="F45" s="6"/>
      <c r="G45" s="6"/>
      <c r="H45" s="6"/>
      <c r="I45" s="6"/>
      <c r="J45" s="6"/>
      <c r="K45" s="6"/>
      <c r="L45" s="6"/>
      <c r="M45" s="37"/>
      <c r="N45" s="28">
        <f t="shared" si="7"/>
        <v>0</v>
      </c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</row>
    <row r="46" spans="1:77" x14ac:dyDescent="0.55000000000000004">
      <c r="A46" s="13" t="s">
        <v>138</v>
      </c>
      <c r="B46" s="5"/>
      <c r="C46" s="6"/>
      <c r="D46" s="6"/>
      <c r="E46" s="6"/>
      <c r="F46" s="6"/>
      <c r="G46" s="6"/>
      <c r="H46" s="6"/>
      <c r="I46" s="6"/>
      <c r="J46" s="6"/>
      <c r="K46" s="6"/>
      <c r="L46" s="6"/>
      <c r="M46" s="37"/>
      <c r="N46" s="28">
        <f t="shared" si="7"/>
        <v>0</v>
      </c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</row>
    <row r="47" spans="1:77" x14ac:dyDescent="0.55000000000000004">
      <c r="A47" s="13" t="s">
        <v>139</v>
      </c>
      <c r="B47" s="5"/>
      <c r="C47" s="6"/>
      <c r="D47" s="6">
        <f>250/4</f>
        <v>62.5</v>
      </c>
      <c r="E47" s="6"/>
      <c r="F47" s="6"/>
      <c r="G47" s="6">
        <f>250/4</f>
        <v>62.5</v>
      </c>
      <c r="H47" s="6"/>
      <c r="I47" s="6"/>
      <c r="J47" s="6">
        <f>250/4</f>
        <v>62.5</v>
      </c>
      <c r="K47" s="6"/>
      <c r="L47" s="6"/>
      <c r="M47" s="37">
        <f>250/4</f>
        <v>62.5</v>
      </c>
      <c r="N47" s="28">
        <f t="shared" si="7"/>
        <v>250</v>
      </c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</row>
    <row r="48" spans="1:77" x14ac:dyDescent="0.55000000000000004">
      <c r="A48" s="13" t="s">
        <v>140</v>
      </c>
      <c r="B48" s="5"/>
      <c r="C48" s="6"/>
      <c r="D48" s="6"/>
      <c r="E48" s="6">
        <v>125</v>
      </c>
      <c r="F48" s="6"/>
      <c r="G48" s="6">
        <v>125</v>
      </c>
      <c r="H48" s="6"/>
      <c r="I48" s="6">
        <v>125</v>
      </c>
      <c r="J48" s="6"/>
      <c r="K48" s="6">
        <v>125</v>
      </c>
      <c r="L48" s="6"/>
      <c r="M48" s="37">
        <v>0</v>
      </c>
      <c r="N48" s="28">
        <f t="shared" si="7"/>
        <v>500</v>
      </c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</row>
    <row r="49" spans="1:77" x14ac:dyDescent="0.55000000000000004">
      <c r="A49" s="13" t="s">
        <v>141</v>
      </c>
      <c r="B49" s="5">
        <v>6.84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7"/>
      <c r="N49" s="28">
        <f t="shared" si="7"/>
        <v>6.84</v>
      </c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</row>
    <row r="50" spans="1:77" x14ac:dyDescent="0.55000000000000004">
      <c r="A50" s="12" t="s">
        <v>142</v>
      </c>
      <c r="B50" s="2">
        <f t="shared" ref="B50:M50" si="9">SUM(B43:B49)</f>
        <v>6.84</v>
      </c>
      <c r="C50" s="3">
        <f t="shared" si="9"/>
        <v>650</v>
      </c>
      <c r="D50" s="3">
        <f t="shared" si="9"/>
        <v>712.5</v>
      </c>
      <c r="E50" s="3">
        <f t="shared" si="9"/>
        <v>775</v>
      </c>
      <c r="F50" s="3">
        <f t="shared" si="9"/>
        <v>650</v>
      </c>
      <c r="G50" s="3">
        <f t="shared" si="9"/>
        <v>837.5</v>
      </c>
      <c r="H50" s="3">
        <f t="shared" si="9"/>
        <v>650</v>
      </c>
      <c r="I50" s="3">
        <f t="shared" si="9"/>
        <v>775</v>
      </c>
      <c r="J50" s="3">
        <f t="shared" si="9"/>
        <v>712.5</v>
      </c>
      <c r="K50" s="3">
        <f t="shared" si="9"/>
        <v>775</v>
      </c>
      <c r="L50" s="3">
        <f t="shared" si="9"/>
        <v>650</v>
      </c>
      <c r="M50" s="4">
        <f t="shared" si="9"/>
        <v>712.5</v>
      </c>
      <c r="N50" s="27">
        <f t="shared" si="7"/>
        <v>7906.84</v>
      </c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</row>
    <row r="51" spans="1:77" x14ac:dyDescent="0.55000000000000004">
      <c r="A51" s="13" t="s">
        <v>143</v>
      </c>
      <c r="B51" s="5"/>
      <c r="C51" s="6"/>
      <c r="D51" s="6"/>
      <c r="E51" s="6"/>
      <c r="F51" s="6"/>
      <c r="G51" s="6"/>
      <c r="H51" s="6"/>
      <c r="I51" s="6"/>
      <c r="J51" s="6"/>
      <c r="K51" s="6"/>
      <c r="L51" s="6"/>
      <c r="M51" s="7"/>
      <c r="N51" s="28">
        <f t="shared" si="7"/>
        <v>0</v>
      </c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</row>
    <row r="52" spans="1:77" x14ac:dyDescent="0.55000000000000004">
      <c r="A52" s="12" t="s">
        <v>144</v>
      </c>
      <c r="B52" s="2">
        <f t="shared" ref="B52:M52" si="10">B42+B50+B51</f>
        <v>6.84</v>
      </c>
      <c r="C52" s="3">
        <f t="shared" si="10"/>
        <v>650</v>
      </c>
      <c r="D52" s="3">
        <f t="shared" si="10"/>
        <v>712.5</v>
      </c>
      <c r="E52" s="3">
        <f t="shared" si="10"/>
        <v>775</v>
      </c>
      <c r="F52" s="3">
        <f t="shared" si="10"/>
        <v>650</v>
      </c>
      <c r="G52" s="3">
        <f t="shared" si="10"/>
        <v>837.5</v>
      </c>
      <c r="H52" s="3">
        <f t="shared" si="10"/>
        <v>650</v>
      </c>
      <c r="I52" s="3">
        <f t="shared" si="10"/>
        <v>775</v>
      </c>
      <c r="J52" s="3">
        <f t="shared" si="10"/>
        <v>712.5</v>
      </c>
      <c r="K52" s="3">
        <f t="shared" si="10"/>
        <v>775</v>
      </c>
      <c r="L52" s="3">
        <f t="shared" si="10"/>
        <v>650</v>
      </c>
      <c r="M52" s="4">
        <f t="shared" si="10"/>
        <v>712.5</v>
      </c>
      <c r="N52" s="27">
        <f t="shared" si="7"/>
        <v>7906.84</v>
      </c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</row>
    <row r="53" spans="1:77" x14ac:dyDescent="0.55000000000000004">
      <c r="A53" s="13" t="s">
        <v>145</v>
      </c>
      <c r="B53" s="5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7">
        <v>0</v>
      </c>
      <c r="N53" s="28">
        <f t="shared" si="7"/>
        <v>0</v>
      </c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</row>
    <row r="54" spans="1:77" x14ac:dyDescent="0.55000000000000004">
      <c r="A54" s="13" t="s">
        <v>146</v>
      </c>
      <c r="B54" s="5"/>
      <c r="C54" s="6"/>
      <c r="D54" s="6"/>
      <c r="E54" s="6"/>
      <c r="F54" s="6"/>
      <c r="G54" s="6"/>
      <c r="H54" s="6"/>
      <c r="I54" s="6"/>
      <c r="J54" s="6"/>
      <c r="K54" s="6"/>
      <c r="L54" s="6"/>
      <c r="M54" s="7"/>
      <c r="N54" s="28">
        <f t="shared" si="7"/>
        <v>0</v>
      </c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</row>
    <row r="55" spans="1:77" x14ac:dyDescent="0.55000000000000004">
      <c r="A55" s="13" t="s">
        <v>147</v>
      </c>
      <c r="B55" s="5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7">
        <v>0</v>
      </c>
      <c r="N55" s="28">
        <f t="shared" si="7"/>
        <v>0</v>
      </c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</row>
    <row r="56" spans="1:77" x14ac:dyDescent="0.55000000000000004">
      <c r="A56" s="12" t="s">
        <v>148</v>
      </c>
      <c r="B56" s="2">
        <f t="shared" ref="B56:M56" si="11">SUM(B53:B55)</f>
        <v>0</v>
      </c>
      <c r="C56" s="3">
        <f t="shared" si="11"/>
        <v>0</v>
      </c>
      <c r="D56" s="3">
        <f t="shared" si="11"/>
        <v>0</v>
      </c>
      <c r="E56" s="3">
        <f t="shared" si="11"/>
        <v>0</v>
      </c>
      <c r="F56" s="3">
        <f t="shared" si="11"/>
        <v>0</v>
      </c>
      <c r="G56" s="3">
        <f t="shared" si="11"/>
        <v>0</v>
      </c>
      <c r="H56" s="3">
        <f t="shared" si="11"/>
        <v>0</v>
      </c>
      <c r="I56" s="3">
        <f t="shared" si="11"/>
        <v>0</v>
      </c>
      <c r="J56" s="3">
        <f t="shared" si="11"/>
        <v>0</v>
      </c>
      <c r="K56" s="3">
        <f t="shared" si="11"/>
        <v>0</v>
      </c>
      <c r="L56" s="3">
        <f t="shared" si="11"/>
        <v>0</v>
      </c>
      <c r="M56" s="4">
        <f t="shared" si="11"/>
        <v>0</v>
      </c>
      <c r="N56" s="27">
        <f t="shared" si="7"/>
        <v>0</v>
      </c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</row>
    <row r="57" spans="1:77" x14ac:dyDescent="0.55000000000000004">
      <c r="A57" s="13" t="s">
        <v>149</v>
      </c>
      <c r="B57" s="5"/>
      <c r="C57" s="6"/>
      <c r="D57" s="6"/>
      <c r="E57" s="6"/>
      <c r="F57" s="6"/>
      <c r="G57" s="6"/>
      <c r="H57" s="6"/>
      <c r="I57" s="6"/>
      <c r="J57" s="6"/>
      <c r="K57" s="6"/>
      <c r="L57" s="6"/>
      <c r="M57" s="7"/>
      <c r="N57" s="28">
        <f t="shared" si="7"/>
        <v>0</v>
      </c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</row>
    <row r="58" spans="1:77" x14ac:dyDescent="0.55000000000000004">
      <c r="A58" s="13" t="s">
        <v>150</v>
      </c>
      <c r="B58" s="5">
        <v>0</v>
      </c>
      <c r="C58" s="6">
        <v>0</v>
      </c>
      <c r="D58" s="6">
        <f>(1500*2)+750</f>
        <v>3750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7">
        <v>0</v>
      </c>
      <c r="N58" s="28">
        <f t="shared" si="7"/>
        <v>3750</v>
      </c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36" t="s">
        <v>151</v>
      </c>
    </row>
    <row r="59" spans="1:77" x14ac:dyDescent="0.55000000000000004">
      <c r="A59" s="13" t="s">
        <v>153</v>
      </c>
      <c r="B59" s="5">
        <v>0</v>
      </c>
      <c r="C59" s="6">
        <v>0</v>
      </c>
      <c r="D59" s="6">
        <v>50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7">
        <v>0</v>
      </c>
      <c r="N59" s="28">
        <f t="shared" si="7"/>
        <v>50</v>
      </c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</row>
    <row r="60" spans="1:77" x14ac:dyDescent="0.55000000000000004">
      <c r="A60" s="13" t="s">
        <v>154</v>
      </c>
      <c r="B60" s="5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7">
        <v>0</v>
      </c>
      <c r="N60" s="28">
        <f t="shared" si="7"/>
        <v>0</v>
      </c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</row>
    <row r="61" spans="1:77" x14ac:dyDescent="0.55000000000000004">
      <c r="A61" s="13" t="s">
        <v>155</v>
      </c>
      <c r="B61" s="5">
        <v>0</v>
      </c>
      <c r="C61" s="6">
        <v>0</v>
      </c>
      <c r="D61" s="6">
        <v>0</v>
      </c>
      <c r="E61" s="6">
        <v>2250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7">
        <v>0</v>
      </c>
      <c r="N61" s="28">
        <f t="shared" si="7"/>
        <v>2250</v>
      </c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36" t="s">
        <v>156</v>
      </c>
    </row>
    <row r="62" spans="1:77" x14ac:dyDescent="0.55000000000000004">
      <c r="A62" s="13" t="s">
        <v>157</v>
      </c>
      <c r="B62" s="5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500</v>
      </c>
      <c r="K62" s="6">
        <v>0</v>
      </c>
      <c r="L62" s="6">
        <v>0</v>
      </c>
      <c r="M62" s="7">
        <v>0</v>
      </c>
      <c r="N62" s="28">
        <f t="shared" si="7"/>
        <v>500</v>
      </c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36" t="s">
        <v>158</v>
      </c>
    </row>
    <row r="63" spans="1:77" x14ac:dyDescent="0.55000000000000004">
      <c r="A63" s="13" t="s">
        <v>159</v>
      </c>
      <c r="B63" s="5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37">
        <v>100</v>
      </c>
      <c r="N63" s="28">
        <f t="shared" si="7"/>
        <v>100</v>
      </c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</row>
    <row r="64" spans="1:77" x14ac:dyDescent="0.55000000000000004">
      <c r="A64" s="12" t="s">
        <v>163</v>
      </c>
      <c r="B64" s="2">
        <f t="shared" ref="B64:M64" si="12">SUM(B57:B63)</f>
        <v>0</v>
      </c>
      <c r="C64" s="3">
        <f t="shared" si="12"/>
        <v>0</v>
      </c>
      <c r="D64" s="3">
        <f t="shared" si="12"/>
        <v>3800</v>
      </c>
      <c r="E64" s="3">
        <f t="shared" si="12"/>
        <v>2250</v>
      </c>
      <c r="F64" s="3">
        <f t="shared" si="12"/>
        <v>0</v>
      </c>
      <c r="G64" s="3">
        <f t="shared" si="12"/>
        <v>0</v>
      </c>
      <c r="H64" s="3">
        <f t="shared" si="12"/>
        <v>0</v>
      </c>
      <c r="I64" s="3">
        <f t="shared" si="12"/>
        <v>0</v>
      </c>
      <c r="J64" s="3">
        <f t="shared" si="12"/>
        <v>500</v>
      </c>
      <c r="K64" s="3">
        <f t="shared" si="12"/>
        <v>0</v>
      </c>
      <c r="L64" s="3">
        <f t="shared" si="12"/>
        <v>0</v>
      </c>
      <c r="M64" s="4">
        <f t="shared" si="12"/>
        <v>100</v>
      </c>
      <c r="N64" s="27">
        <f t="shared" si="7"/>
        <v>6650</v>
      </c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</row>
    <row r="65" spans="1:77" x14ac:dyDescent="0.55000000000000004">
      <c r="A65" s="13" t="s">
        <v>164</v>
      </c>
      <c r="B65" s="5"/>
      <c r="C65" s="6"/>
      <c r="D65" s="6"/>
      <c r="E65" s="6"/>
      <c r="F65" s="6"/>
      <c r="G65" s="6"/>
      <c r="H65" s="6"/>
      <c r="I65" s="6"/>
      <c r="J65" s="6"/>
      <c r="K65" s="6"/>
      <c r="L65" s="6"/>
      <c r="M65" s="7"/>
      <c r="N65" s="28">
        <f t="shared" si="7"/>
        <v>0</v>
      </c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</row>
    <row r="66" spans="1:77" x14ac:dyDescent="0.55000000000000004">
      <c r="A66" s="13" t="s">
        <v>166</v>
      </c>
      <c r="B66" s="5"/>
      <c r="C66" s="6"/>
      <c r="D66" s="6">
        <v>190</v>
      </c>
      <c r="E66" s="6"/>
      <c r="F66" s="6"/>
      <c r="G66" s="6"/>
      <c r="H66" s="6"/>
      <c r="I66" s="6"/>
      <c r="J66" s="6"/>
      <c r="K66" s="6"/>
      <c r="L66" s="6"/>
      <c r="M66" s="7"/>
      <c r="N66" s="28">
        <f t="shared" si="7"/>
        <v>190</v>
      </c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34"/>
    </row>
    <row r="67" spans="1:77" x14ac:dyDescent="0.55000000000000004">
      <c r="A67" s="13" t="s">
        <v>168</v>
      </c>
      <c r="B67" s="5">
        <v>14.99</v>
      </c>
      <c r="C67" s="6">
        <v>14.99</v>
      </c>
      <c r="D67" s="6">
        <v>14.99</v>
      </c>
      <c r="E67" s="6">
        <v>14.99</v>
      </c>
      <c r="F67" s="6">
        <v>14.99</v>
      </c>
      <c r="G67" s="6">
        <v>14.99</v>
      </c>
      <c r="H67" s="6">
        <v>14.99</v>
      </c>
      <c r="I67" s="6">
        <v>14.99</v>
      </c>
      <c r="J67" s="6">
        <v>14.99</v>
      </c>
      <c r="K67" s="6">
        <v>14.99</v>
      </c>
      <c r="L67" s="6">
        <v>14.99</v>
      </c>
      <c r="M67" s="7">
        <v>14.99</v>
      </c>
      <c r="N67" s="28">
        <f t="shared" si="7"/>
        <v>179.88000000000002</v>
      </c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36" t="s">
        <v>169</v>
      </c>
    </row>
    <row r="68" spans="1:77" x14ac:dyDescent="0.55000000000000004">
      <c r="A68" s="13" t="s">
        <v>171</v>
      </c>
      <c r="B68" s="5"/>
      <c r="C68" s="6"/>
      <c r="D68" s="6"/>
      <c r="E68" s="6"/>
      <c r="F68" s="6"/>
      <c r="G68" s="6"/>
      <c r="H68" s="6"/>
      <c r="I68" s="6"/>
      <c r="J68" s="6">
        <v>2052</v>
      </c>
      <c r="K68" s="6"/>
      <c r="L68" s="6"/>
      <c r="M68" s="7"/>
      <c r="N68" s="28">
        <f t="shared" si="7"/>
        <v>2052</v>
      </c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36" t="s">
        <v>172</v>
      </c>
    </row>
    <row r="69" spans="1:77" x14ac:dyDescent="0.55000000000000004">
      <c r="A69" s="13" t="s">
        <v>174</v>
      </c>
      <c r="B69" s="5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7">
        <v>0</v>
      </c>
      <c r="N69" s="28">
        <f t="shared" si="7"/>
        <v>0</v>
      </c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</row>
    <row r="70" spans="1:77" x14ac:dyDescent="0.55000000000000004">
      <c r="A70" s="13" t="s">
        <v>175</v>
      </c>
      <c r="B70" s="35">
        <v>1458.48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7"/>
      <c r="N70" s="28">
        <f t="shared" si="7"/>
        <v>1458.48</v>
      </c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</row>
    <row r="71" spans="1:77" x14ac:dyDescent="0.55000000000000004">
      <c r="A71" s="13" t="s">
        <v>178</v>
      </c>
      <c r="B71" s="5"/>
      <c r="C71" s="6">
        <v>0</v>
      </c>
      <c r="D71" s="6">
        <v>750</v>
      </c>
      <c r="E71" s="6">
        <v>30</v>
      </c>
      <c r="F71" s="6">
        <v>30</v>
      </c>
      <c r="G71" s="6">
        <v>30</v>
      </c>
      <c r="H71" s="6">
        <v>30</v>
      </c>
      <c r="I71" s="6">
        <v>30</v>
      </c>
      <c r="J71" s="6">
        <v>30</v>
      </c>
      <c r="K71" s="6">
        <v>30</v>
      </c>
      <c r="L71" s="6">
        <v>30</v>
      </c>
      <c r="M71" s="7">
        <v>30</v>
      </c>
      <c r="N71" s="28">
        <f t="shared" si="7"/>
        <v>1020</v>
      </c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36" t="s">
        <v>179</v>
      </c>
    </row>
    <row r="72" spans="1:77" x14ac:dyDescent="0.55000000000000004">
      <c r="A72" s="12" t="s">
        <v>181</v>
      </c>
      <c r="B72" s="2">
        <f t="shared" ref="B72:M72" si="13">SUM(B65:B71)</f>
        <v>1473.47</v>
      </c>
      <c r="C72" s="3">
        <f t="shared" si="13"/>
        <v>14.99</v>
      </c>
      <c r="D72" s="3">
        <f t="shared" si="13"/>
        <v>954.99</v>
      </c>
      <c r="E72" s="3">
        <f t="shared" si="13"/>
        <v>44.99</v>
      </c>
      <c r="F72" s="3">
        <f t="shared" si="13"/>
        <v>44.99</v>
      </c>
      <c r="G72" s="3">
        <f t="shared" si="13"/>
        <v>44.99</v>
      </c>
      <c r="H72" s="3">
        <f t="shared" si="13"/>
        <v>44.99</v>
      </c>
      <c r="I72" s="3">
        <f t="shared" si="13"/>
        <v>44.99</v>
      </c>
      <c r="J72" s="3">
        <f t="shared" si="13"/>
        <v>2096.9899999999998</v>
      </c>
      <c r="K72" s="3">
        <f t="shared" si="13"/>
        <v>44.99</v>
      </c>
      <c r="L72" s="3">
        <f t="shared" si="13"/>
        <v>44.99</v>
      </c>
      <c r="M72" s="4">
        <f t="shared" si="13"/>
        <v>44.99</v>
      </c>
      <c r="N72" s="27">
        <f t="shared" si="7"/>
        <v>4900.3599999999979</v>
      </c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</row>
    <row r="73" spans="1:77" x14ac:dyDescent="0.55000000000000004">
      <c r="A73" s="13" t="s">
        <v>182</v>
      </c>
      <c r="B73" s="5">
        <v>0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7">
        <v>0</v>
      </c>
      <c r="N73" s="28">
        <f t="shared" si="7"/>
        <v>0</v>
      </c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</row>
    <row r="74" spans="1:77" x14ac:dyDescent="0.55000000000000004">
      <c r="A74" s="13" t="s">
        <v>183</v>
      </c>
      <c r="B74" s="5">
        <v>0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7">
        <v>0</v>
      </c>
      <c r="N74" s="28">
        <f t="shared" si="7"/>
        <v>0</v>
      </c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33"/>
    </row>
    <row r="75" spans="1:77" x14ac:dyDescent="0.55000000000000004">
      <c r="A75" s="13" t="s">
        <v>184</v>
      </c>
      <c r="B75" s="5">
        <v>108</v>
      </c>
      <c r="C75" s="6">
        <f>8*27.5</f>
        <v>220</v>
      </c>
      <c r="D75" s="6">
        <f>10*27.5</f>
        <v>275</v>
      </c>
      <c r="E75" s="6">
        <f t="shared" ref="E75:L75" si="14">8*27.5</f>
        <v>220</v>
      </c>
      <c r="F75" s="6">
        <f t="shared" si="14"/>
        <v>220</v>
      </c>
      <c r="G75" s="6">
        <f>10*27.5</f>
        <v>275</v>
      </c>
      <c r="H75" s="6">
        <f t="shared" si="14"/>
        <v>220</v>
      </c>
      <c r="I75" s="6">
        <f t="shared" si="14"/>
        <v>220</v>
      </c>
      <c r="J75" s="6">
        <f>10*27.5</f>
        <v>275</v>
      </c>
      <c r="K75" s="6">
        <f t="shared" si="14"/>
        <v>220</v>
      </c>
      <c r="L75" s="6">
        <f t="shared" si="14"/>
        <v>220</v>
      </c>
      <c r="M75" s="7">
        <v>277</v>
      </c>
      <c r="N75" s="28">
        <f>SUM(B75:M75)</f>
        <v>2750</v>
      </c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36" t="s">
        <v>185</v>
      </c>
    </row>
    <row r="76" spans="1:77" x14ac:dyDescent="0.55000000000000004">
      <c r="A76" s="13" t="s">
        <v>187</v>
      </c>
      <c r="B76" s="5"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7">
        <v>0</v>
      </c>
      <c r="N76" s="28">
        <f t="shared" si="7"/>
        <v>0</v>
      </c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</row>
    <row r="77" spans="1:77" x14ac:dyDescent="0.55000000000000004">
      <c r="A77" s="13" t="s">
        <v>188</v>
      </c>
      <c r="B77" s="5"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7">
        <v>0</v>
      </c>
      <c r="N77" s="28">
        <f t="shared" si="7"/>
        <v>0</v>
      </c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</row>
    <row r="78" spans="1:77" x14ac:dyDescent="0.55000000000000004">
      <c r="A78" s="12" t="s">
        <v>189</v>
      </c>
      <c r="B78" s="2">
        <f t="shared" ref="B78:M78" si="15">SUM(B73:B77)</f>
        <v>108</v>
      </c>
      <c r="C78" s="3">
        <f t="shared" si="15"/>
        <v>220</v>
      </c>
      <c r="D78" s="3">
        <f t="shared" si="15"/>
        <v>275</v>
      </c>
      <c r="E78" s="3">
        <f t="shared" si="15"/>
        <v>220</v>
      </c>
      <c r="F78" s="3">
        <f t="shared" si="15"/>
        <v>220</v>
      </c>
      <c r="G78" s="3">
        <f t="shared" si="15"/>
        <v>275</v>
      </c>
      <c r="H78" s="3">
        <f t="shared" si="15"/>
        <v>220</v>
      </c>
      <c r="I78" s="3">
        <f t="shared" si="15"/>
        <v>220</v>
      </c>
      <c r="J78" s="3">
        <f t="shared" si="15"/>
        <v>275</v>
      </c>
      <c r="K78" s="3">
        <f t="shared" si="15"/>
        <v>220</v>
      </c>
      <c r="L78" s="3">
        <f t="shared" si="15"/>
        <v>220</v>
      </c>
      <c r="M78" s="4">
        <f t="shared" si="15"/>
        <v>277</v>
      </c>
      <c r="N78" s="27">
        <f t="shared" si="7"/>
        <v>2750</v>
      </c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</row>
    <row r="79" spans="1:77" x14ac:dyDescent="0.55000000000000004">
      <c r="A79" s="13" t="s">
        <v>190</v>
      </c>
      <c r="B79" s="5">
        <v>0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7">
        <v>0</v>
      </c>
      <c r="N79" s="28">
        <f t="shared" si="7"/>
        <v>0</v>
      </c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34"/>
    </row>
    <row r="80" spans="1:77" x14ac:dyDescent="0.55000000000000004">
      <c r="A80" s="13" t="s">
        <v>191</v>
      </c>
      <c r="B80" s="5">
        <v>0</v>
      </c>
      <c r="C80" s="6">
        <v>0</v>
      </c>
      <c r="D80" s="6">
        <v>2000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7">
        <v>0</v>
      </c>
      <c r="N80" s="28">
        <f t="shared" si="7"/>
        <v>2000</v>
      </c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36" t="s">
        <v>192</v>
      </c>
    </row>
    <row r="81" spans="1:77" x14ac:dyDescent="0.55000000000000004">
      <c r="A81" s="12" t="s">
        <v>193</v>
      </c>
      <c r="B81" s="2">
        <f t="shared" ref="B81:M81" si="16">SUM(B79:B80)</f>
        <v>0</v>
      </c>
      <c r="C81" s="3">
        <f t="shared" si="16"/>
        <v>0</v>
      </c>
      <c r="D81" s="3">
        <f t="shared" si="16"/>
        <v>2000</v>
      </c>
      <c r="E81" s="3">
        <f t="shared" si="16"/>
        <v>0</v>
      </c>
      <c r="F81" s="3">
        <f t="shared" si="16"/>
        <v>0</v>
      </c>
      <c r="G81" s="3">
        <f t="shared" si="16"/>
        <v>0</v>
      </c>
      <c r="H81" s="3">
        <f t="shared" si="16"/>
        <v>0</v>
      </c>
      <c r="I81" s="3">
        <f t="shared" si="16"/>
        <v>0</v>
      </c>
      <c r="J81" s="3">
        <f t="shared" si="16"/>
        <v>0</v>
      </c>
      <c r="K81" s="3">
        <f t="shared" si="16"/>
        <v>0</v>
      </c>
      <c r="L81" s="3">
        <f t="shared" si="16"/>
        <v>0</v>
      </c>
      <c r="M81" s="4">
        <f t="shared" si="16"/>
        <v>0</v>
      </c>
      <c r="N81" s="27">
        <f t="shared" si="7"/>
        <v>2000</v>
      </c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</row>
    <row r="82" spans="1:77" x14ac:dyDescent="0.55000000000000004">
      <c r="A82" s="13" t="s">
        <v>194</v>
      </c>
      <c r="B82" s="5"/>
      <c r="C82" s="6"/>
      <c r="D82" s="6"/>
      <c r="E82" s="6"/>
      <c r="F82" s="6">
        <v>255</v>
      </c>
      <c r="G82" s="6"/>
      <c r="H82" s="6"/>
      <c r="I82" s="6"/>
      <c r="J82" s="6"/>
      <c r="K82" s="6"/>
      <c r="L82" s="6"/>
      <c r="M82" s="7"/>
      <c r="N82" s="28">
        <f t="shared" si="7"/>
        <v>255</v>
      </c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36" t="s">
        <v>156</v>
      </c>
    </row>
    <row r="83" spans="1:77" x14ac:dyDescent="0.55000000000000004">
      <c r="A83" s="13" t="s">
        <v>196</v>
      </c>
      <c r="B83" s="5"/>
      <c r="C83" s="6"/>
      <c r="D83" s="6"/>
      <c r="E83" s="6">
        <v>235</v>
      </c>
      <c r="F83" s="6">
        <v>25</v>
      </c>
      <c r="G83" s="6"/>
      <c r="H83" s="6"/>
      <c r="I83" s="6"/>
      <c r="J83" s="6"/>
      <c r="K83" s="6"/>
      <c r="L83" s="6"/>
      <c r="M83" s="7"/>
      <c r="N83" s="28">
        <f t="shared" si="7"/>
        <v>260</v>
      </c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36" t="s">
        <v>156</v>
      </c>
    </row>
    <row r="84" spans="1:77" x14ac:dyDescent="0.55000000000000004">
      <c r="A84" s="13" t="s">
        <v>198</v>
      </c>
      <c r="B84" s="5"/>
      <c r="C84" s="6"/>
      <c r="D84" s="6"/>
      <c r="E84" s="6">
        <v>75</v>
      </c>
      <c r="F84" s="6"/>
      <c r="G84" s="6"/>
      <c r="H84" s="6"/>
      <c r="I84" s="6"/>
      <c r="J84" s="6"/>
      <c r="K84" s="6"/>
      <c r="L84" s="6"/>
      <c r="M84" s="7"/>
      <c r="N84" s="28">
        <f t="shared" si="7"/>
        <v>75</v>
      </c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36" t="s">
        <v>156</v>
      </c>
    </row>
    <row r="85" spans="1:77" x14ac:dyDescent="0.55000000000000004">
      <c r="A85" s="13" t="s">
        <v>200</v>
      </c>
      <c r="B85" s="5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7">
        <v>0</v>
      </c>
      <c r="N85" s="28">
        <f t="shared" si="7"/>
        <v>0</v>
      </c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</row>
    <row r="86" spans="1:77" x14ac:dyDescent="0.55000000000000004">
      <c r="A86" s="12" t="s">
        <v>201</v>
      </c>
      <c r="B86" s="2">
        <f t="shared" ref="B86:M86" si="17">B78+B81+SUM(B82:B85)</f>
        <v>108</v>
      </c>
      <c r="C86" s="3">
        <f t="shared" si="17"/>
        <v>220</v>
      </c>
      <c r="D86" s="3">
        <f t="shared" si="17"/>
        <v>2275</v>
      </c>
      <c r="E86" s="3">
        <f t="shared" si="17"/>
        <v>530</v>
      </c>
      <c r="F86" s="3">
        <f t="shared" si="17"/>
        <v>500</v>
      </c>
      <c r="G86" s="3">
        <f t="shared" si="17"/>
        <v>275</v>
      </c>
      <c r="H86" s="3">
        <f t="shared" si="17"/>
        <v>220</v>
      </c>
      <c r="I86" s="3">
        <f t="shared" si="17"/>
        <v>220</v>
      </c>
      <c r="J86" s="3">
        <f t="shared" si="17"/>
        <v>275</v>
      </c>
      <c r="K86" s="3">
        <f t="shared" si="17"/>
        <v>220</v>
      </c>
      <c r="L86" s="3">
        <f t="shared" si="17"/>
        <v>220</v>
      </c>
      <c r="M86" s="4">
        <f t="shared" si="17"/>
        <v>277</v>
      </c>
      <c r="N86" s="27">
        <f t="shared" si="7"/>
        <v>5340</v>
      </c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</row>
    <row r="87" spans="1:77" x14ac:dyDescent="0.55000000000000004">
      <c r="A87" s="13" t="s">
        <v>202</v>
      </c>
      <c r="B87" s="5"/>
      <c r="C87" s="6"/>
      <c r="D87" s="6"/>
      <c r="E87" s="6"/>
      <c r="F87" s="6"/>
      <c r="G87" s="6"/>
      <c r="H87" s="6"/>
      <c r="I87" s="6"/>
      <c r="J87" s="6"/>
      <c r="K87" s="6"/>
      <c r="L87" s="6"/>
      <c r="M87" s="7"/>
      <c r="N87" s="28">
        <f t="shared" si="7"/>
        <v>0</v>
      </c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</row>
    <row r="88" spans="1:77" x14ac:dyDescent="0.55000000000000004">
      <c r="A88" s="13" t="s">
        <v>203</v>
      </c>
      <c r="B88" s="5"/>
      <c r="C88" s="6"/>
      <c r="D88" s="6"/>
      <c r="E88" s="6"/>
      <c r="F88" s="6"/>
      <c r="G88" s="6"/>
      <c r="H88" s="6"/>
      <c r="I88" s="6"/>
      <c r="J88" s="6"/>
      <c r="K88" s="6"/>
      <c r="L88" s="6"/>
      <c r="M88" s="7"/>
      <c r="N88" s="28">
        <f t="shared" si="7"/>
        <v>0</v>
      </c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</row>
    <row r="89" spans="1:77" x14ac:dyDescent="0.55000000000000004">
      <c r="A89" s="13" t="s">
        <v>204</v>
      </c>
      <c r="B89" s="5"/>
      <c r="C89" s="6"/>
      <c r="D89" s="6"/>
      <c r="E89" s="6"/>
      <c r="F89" s="6"/>
      <c r="G89" s="6"/>
      <c r="H89" s="6"/>
      <c r="I89" s="6"/>
      <c r="J89" s="6"/>
      <c r="K89" s="6"/>
      <c r="L89" s="6"/>
      <c r="M89" s="7"/>
      <c r="N89" s="28">
        <f t="shared" si="7"/>
        <v>0</v>
      </c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</row>
    <row r="90" spans="1:77" x14ac:dyDescent="0.55000000000000004">
      <c r="A90" s="12" t="s">
        <v>205</v>
      </c>
      <c r="B90" s="2">
        <f t="shared" ref="B90:M90" si="18">SUM(B87:B89)</f>
        <v>0</v>
      </c>
      <c r="C90" s="3">
        <f t="shared" si="18"/>
        <v>0</v>
      </c>
      <c r="D90" s="3">
        <f t="shared" si="18"/>
        <v>0</v>
      </c>
      <c r="E90" s="3">
        <f t="shared" si="18"/>
        <v>0</v>
      </c>
      <c r="F90" s="3">
        <f t="shared" si="18"/>
        <v>0</v>
      </c>
      <c r="G90" s="3">
        <f t="shared" si="18"/>
        <v>0</v>
      </c>
      <c r="H90" s="3">
        <f t="shared" si="18"/>
        <v>0</v>
      </c>
      <c r="I90" s="3">
        <f t="shared" si="18"/>
        <v>0</v>
      </c>
      <c r="J90" s="3">
        <f t="shared" si="18"/>
        <v>0</v>
      </c>
      <c r="K90" s="3">
        <f t="shared" si="18"/>
        <v>0</v>
      </c>
      <c r="L90" s="3">
        <f t="shared" si="18"/>
        <v>0</v>
      </c>
      <c r="M90" s="4">
        <f t="shared" si="18"/>
        <v>0</v>
      </c>
      <c r="N90" s="27">
        <f t="shared" si="7"/>
        <v>0</v>
      </c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</row>
    <row r="91" spans="1:77" x14ac:dyDescent="0.55000000000000004">
      <c r="A91" s="13" t="s">
        <v>206</v>
      </c>
      <c r="B91" s="5"/>
      <c r="C91" s="6"/>
      <c r="D91" s="6"/>
      <c r="E91" s="6"/>
      <c r="F91" s="6"/>
      <c r="G91" s="6"/>
      <c r="H91" s="6"/>
      <c r="I91" s="6"/>
      <c r="J91" s="6"/>
      <c r="K91" s="6"/>
      <c r="L91" s="6"/>
      <c r="M91" s="7"/>
      <c r="N91" s="28">
        <f t="shared" si="7"/>
        <v>0</v>
      </c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</row>
    <row r="92" spans="1:77" x14ac:dyDescent="0.55000000000000004">
      <c r="A92" s="13" t="s">
        <v>207</v>
      </c>
      <c r="B92" s="5"/>
      <c r="C92" s="6"/>
      <c r="D92" s="6"/>
      <c r="E92" s="6"/>
      <c r="F92" s="6"/>
      <c r="G92" s="6"/>
      <c r="H92" s="6"/>
      <c r="I92" s="6"/>
      <c r="J92" s="6"/>
      <c r="K92" s="6"/>
      <c r="L92" s="6"/>
      <c r="M92" s="7"/>
      <c r="N92" s="28">
        <f t="shared" si="7"/>
        <v>0</v>
      </c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</row>
    <row r="93" spans="1:77" x14ac:dyDescent="0.55000000000000004">
      <c r="A93" s="13" t="s">
        <v>208</v>
      </c>
      <c r="B93" s="5"/>
      <c r="C93" s="6"/>
      <c r="D93" s="6"/>
      <c r="E93" s="6"/>
      <c r="F93" s="6"/>
      <c r="G93" s="6"/>
      <c r="H93" s="6"/>
      <c r="I93" s="6"/>
      <c r="J93" s="6"/>
      <c r="K93" s="6"/>
      <c r="L93" s="6"/>
      <c r="M93" s="7"/>
      <c r="N93" s="28">
        <f t="shared" si="7"/>
        <v>0</v>
      </c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</row>
    <row r="94" spans="1:77" x14ac:dyDescent="0.55000000000000004">
      <c r="A94" s="13" t="s">
        <v>209</v>
      </c>
      <c r="B94" s="5"/>
      <c r="C94" s="6"/>
      <c r="D94" s="6"/>
      <c r="E94" s="6"/>
      <c r="F94" s="6"/>
      <c r="G94" s="6"/>
      <c r="H94" s="6"/>
      <c r="I94" s="6"/>
      <c r="J94" s="6"/>
      <c r="K94" s="6"/>
      <c r="L94" s="6"/>
      <c r="M94" s="7"/>
      <c r="N94" s="28">
        <f t="shared" si="7"/>
        <v>0</v>
      </c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</row>
    <row r="95" spans="1:77" x14ac:dyDescent="0.55000000000000004">
      <c r="A95" s="13" t="s">
        <v>211</v>
      </c>
      <c r="B95" s="5"/>
      <c r="C95" s="6"/>
      <c r="D95" s="6"/>
      <c r="E95" s="6"/>
      <c r="F95" s="6"/>
      <c r="G95" s="6"/>
      <c r="H95" s="6"/>
      <c r="I95" s="6"/>
      <c r="J95" s="6"/>
      <c r="K95" s="6"/>
      <c r="L95" s="6"/>
      <c r="M95" s="7">
        <v>12500</v>
      </c>
      <c r="N95" s="28">
        <f t="shared" si="7"/>
        <v>12500</v>
      </c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</row>
    <row r="96" spans="1:77" x14ac:dyDescent="0.55000000000000004">
      <c r="A96" s="13" t="s">
        <v>213</v>
      </c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7">
        <f>3500-750</f>
        <v>2750</v>
      </c>
      <c r="N96" s="28">
        <f t="shared" si="7"/>
        <v>2750</v>
      </c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36" t="s">
        <v>261</v>
      </c>
    </row>
    <row r="97" spans="1:77" x14ac:dyDescent="0.55000000000000004">
      <c r="A97" s="13" t="s">
        <v>215</v>
      </c>
      <c r="B97" s="5"/>
      <c r="C97" s="6"/>
      <c r="D97" s="6"/>
      <c r="E97" s="6"/>
      <c r="F97" s="6"/>
      <c r="G97" s="6"/>
      <c r="H97" s="6"/>
      <c r="I97" s="6"/>
      <c r="J97" s="6"/>
      <c r="K97" s="6"/>
      <c r="L97" s="6"/>
      <c r="M97" s="7">
        <v>2500</v>
      </c>
      <c r="N97" s="28">
        <f t="shared" si="7"/>
        <v>2500</v>
      </c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</row>
    <row r="98" spans="1:77" x14ac:dyDescent="0.55000000000000004">
      <c r="A98" s="13" t="s">
        <v>216</v>
      </c>
      <c r="B98" s="5"/>
      <c r="C98" s="6"/>
      <c r="D98" s="6"/>
      <c r="E98" s="6"/>
      <c r="F98" s="6"/>
      <c r="G98" s="6"/>
      <c r="H98" s="6"/>
      <c r="I98" s="6"/>
      <c r="J98" s="6"/>
      <c r="K98" s="6"/>
      <c r="L98" s="6"/>
      <c r="M98" s="7"/>
      <c r="N98" s="28">
        <f t="shared" si="7"/>
        <v>0</v>
      </c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</row>
    <row r="99" spans="1:77" x14ac:dyDescent="0.55000000000000004">
      <c r="A99" s="12" t="s">
        <v>217</v>
      </c>
      <c r="B99" s="2">
        <f t="shared" ref="B99:M99" si="19">SUM(B91:B98)</f>
        <v>0</v>
      </c>
      <c r="C99" s="3">
        <f t="shared" si="19"/>
        <v>0</v>
      </c>
      <c r="D99" s="3">
        <f t="shared" si="19"/>
        <v>0</v>
      </c>
      <c r="E99" s="3">
        <f t="shared" si="19"/>
        <v>0</v>
      </c>
      <c r="F99" s="3">
        <f t="shared" si="19"/>
        <v>0</v>
      </c>
      <c r="G99" s="3">
        <f t="shared" si="19"/>
        <v>0</v>
      </c>
      <c r="H99" s="3">
        <f t="shared" si="19"/>
        <v>0</v>
      </c>
      <c r="I99" s="3">
        <f t="shared" si="19"/>
        <v>0</v>
      </c>
      <c r="J99" s="3">
        <f t="shared" si="19"/>
        <v>0</v>
      </c>
      <c r="K99" s="3">
        <f t="shared" si="19"/>
        <v>0</v>
      </c>
      <c r="L99" s="3">
        <f t="shared" si="19"/>
        <v>0</v>
      </c>
      <c r="M99" s="4">
        <f t="shared" si="19"/>
        <v>17750</v>
      </c>
      <c r="N99" s="27">
        <f t="shared" si="7"/>
        <v>17750</v>
      </c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</row>
    <row r="100" spans="1:77" x14ac:dyDescent="0.55000000000000004">
      <c r="A100" s="13" t="s">
        <v>218</v>
      </c>
      <c r="B100" s="5">
        <v>0</v>
      </c>
      <c r="C100" s="6">
        <v>0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7">
        <v>0</v>
      </c>
      <c r="N100" s="28">
        <f t="shared" si="7"/>
        <v>0</v>
      </c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</row>
    <row r="101" spans="1:77" x14ac:dyDescent="0.55000000000000004">
      <c r="A101" s="12" t="s">
        <v>222</v>
      </c>
      <c r="B101" s="2">
        <f t="shared" ref="B101:M101" si="20">B99+B100</f>
        <v>0</v>
      </c>
      <c r="C101" s="3">
        <f t="shared" si="20"/>
        <v>0</v>
      </c>
      <c r="D101" s="3">
        <f t="shared" si="20"/>
        <v>0</v>
      </c>
      <c r="E101" s="3">
        <f t="shared" si="20"/>
        <v>0</v>
      </c>
      <c r="F101" s="3">
        <f t="shared" si="20"/>
        <v>0</v>
      </c>
      <c r="G101" s="3">
        <f t="shared" si="20"/>
        <v>0</v>
      </c>
      <c r="H101" s="3">
        <f t="shared" si="20"/>
        <v>0</v>
      </c>
      <c r="I101" s="3">
        <f t="shared" si="20"/>
        <v>0</v>
      </c>
      <c r="J101" s="3">
        <f t="shared" si="20"/>
        <v>0</v>
      </c>
      <c r="K101" s="3">
        <f t="shared" si="20"/>
        <v>0</v>
      </c>
      <c r="L101" s="3">
        <f t="shared" si="20"/>
        <v>0</v>
      </c>
      <c r="M101" s="4">
        <f t="shared" si="20"/>
        <v>17750</v>
      </c>
      <c r="N101" s="27">
        <f t="shared" si="7"/>
        <v>17750</v>
      </c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</row>
    <row r="102" spans="1:77" x14ac:dyDescent="0.55000000000000004">
      <c r="A102" s="13" t="s">
        <v>223</v>
      </c>
      <c r="B102" s="5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7"/>
      <c r="N102" s="28">
        <f t="shared" ref="N102:N110" si="21">SUM(B102:M102)</f>
        <v>0</v>
      </c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</row>
    <row r="103" spans="1:77" x14ac:dyDescent="0.55000000000000004">
      <c r="A103" s="13" t="s">
        <v>224</v>
      </c>
      <c r="B103" s="5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7"/>
      <c r="N103" s="28">
        <f t="shared" si="21"/>
        <v>0</v>
      </c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</row>
    <row r="104" spans="1:77" x14ac:dyDescent="0.55000000000000004">
      <c r="A104" s="13" t="s">
        <v>225</v>
      </c>
      <c r="B104" s="5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7"/>
      <c r="N104" s="28">
        <f t="shared" si="21"/>
        <v>0</v>
      </c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</row>
    <row r="105" spans="1:77" x14ac:dyDescent="0.55000000000000004">
      <c r="A105" s="12" t="s">
        <v>226</v>
      </c>
      <c r="B105" s="2">
        <f t="shared" ref="B105:M105" si="22">SUM(B102:B104)</f>
        <v>0</v>
      </c>
      <c r="C105" s="3">
        <f t="shared" si="22"/>
        <v>0</v>
      </c>
      <c r="D105" s="3">
        <f t="shared" si="22"/>
        <v>0</v>
      </c>
      <c r="E105" s="3">
        <f t="shared" si="22"/>
        <v>0</v>
      </c>
      <c r="F105" s="3">
        <f t="shared" si="22"/>
        <v>0</v>
      </c>
      <c r="G105" s="3">
        <f t="shared" si="22"/>
        <v>0</v>
      </c>
      <c r="H105" s="3">
        <f t="shared" si="22"/>
        <v>0</v>
      </c>
      <c r="I105" s="3">
        <f t="shared" si="22"/>
        <v>0</v>
      </c>
      <c r="J105" s="3">
        <f t="shared" si="22"/>
        <v>0</v>
      </c>
      <c r="K105" s="3">
        <f t="shared" si="22"/>
        <v>0</v>
      </c>
      <c r="L105" s="3">
        <f t="shared" si="22"/>
        <v>0</v>
      </c>
      <c r="M105" s="4">
        <f t="shared" si="22"/>
        <v>0</v>
      </c>
      <c r="N105" s="27">
        <f t="shared" si="21"/>
        <v>0</v>
      </c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</row>
    <row r="106" spans="1:77" x14ac:dyDescent="0.55000000000000004">
      <c r="A106" s="13" t="s">
        <v>227</v>
      </c>
      <c r="B106" s="5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7"/>
      <c r="N106" s="28">
        <f t="shared" si="21"/>
        <v>0</v>
      </c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</row>
    <row r="107" spans="1:77" x14ac:dyDescent="0.55000000000000004">
      <c r="A107" s="13" t="s">
        <v>228</v>
      </c>
      <c r="B107" s="5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7"/>
      <c r="N107" s="28">
        <f t="shared" si="21"/>
        <v>0</v>
      </c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</row>
    <row r="108" spans="1:77" x14ac:dyDescent="0.55000000000000004">
      <c r="A108" s="13" t="s">
        <v>229</v>
      </c>
      <c r="B108" s="5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7"/>
      <c r="N108" s="28">
        <f t="shared" si="21"/>
        <v>0</v>
      </c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</row>
    <row r="109" spans="1:77" x14ac:dyDescent="0.55000000000000004">
      <c r="A109" s="13" t="s">
        <v>230</v>
      </c>
      <c r="B109" s="5"/>
      <c r="C109" s="6"/>
      <c r="D109" s="6">
        <f>500/4</f>
        <v>125</v>
      </c>
      <c r="E109" s="6"/>
      <c r="F109" s="6"/>
      <c r="G109" s="6">
        <f>500/4</f>
        <v>125</v>
      </c>
      <c r="H109" s="6"/>
      <c r="I109" s="6"/>
      <c r="J109" s="6">
        <f>500/4</f>
        <v>125</v>
      </c>
      <c r="K109" s="6"/>
      <c r="L109" s="6"/>
      <c r="M109" s="6">
        <f>500/4</f>
        <v>125</v>
      </c>
      <c r="N109" s="28">
        <f t="shared" si="21"/>
        <v>500</v>
      </c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</row>
    <row r="110" spans="1:77" x14ac:dyDescent="0.55000000000000004">
      <c r="A110" s="12" t="s">
        <v>233</v>
      </c>
      <c r="B110" s="2">
        <f t="shared" ref="B110:M110" si="23">SUM(B106:B109)</f>
        <v>0</v>
      </c>
      <c r="C110" s="3">
        <f t="shared" si="23"/>
        <v>0</v>
      </c>
      <c r="D110" s="3">
        <f t="shared" si="23"/>
        <v>125</v>
      </c>
      <c r="E110" s="3">
        <f t="shared" si="23"/>
        <v>0</v>
      </c>
      <c r="F110" s="3">
        <f t="shared" si="23"/>
        <v>0</v>
      </c>
      <c r="G110" s="3">
        <f t="shared" si="23"/>
        <v>125</v>
      </c>
      <c r="H110" s="3">
        <f t="shared" si="23"/>
        <v>0</v>
      </c>
      <c r="I110" s="3">
        <f t="shared" si="23"/>
        <v>0</v>
      </c>
      <c r="J110" s="3">
        <f t="shared" si="23"/>
        <v>125</v>
      </c>
      <c r="K110" s="3">
        <f t="shared" si="23"/>
        <v>0</v>
      </c>
      <c r="L110" s="3">
        <f t="shared" si="23"/>
        <v>0</v>
      </c>
      <c r="M110" s="4">
        <f t="shared" si="23"/>
        <v>125</v>
      </c>
      <c r="N110" s="27">
        <f t="shared" si="21"/>
        <v>500</v>
      </c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</row>
    <row r="111" spans="1:77" x14ac:dyDescent="0.55000000000000004">
      <c r="A111" s="17" t="s">
        <v>234</v>
      </c>
      <c r="B111" s="18">
        <f t="shared" ref="B111:N111" si="24">B38+B52+B56+B64+B72+B86+B90+B101+B105+B110</f>
        <v>1588.31</v>
      </c>
      <c r="C111" s="19">
        <f t="shared" si="24"/>
        <v>884.99</v>
      </c>
      <c r="D111" s="19">
        <f t="shared" si="24"/>
        <v>7867.49</v>
      </c>
      <c r="E111" s="19">
        <f t="shared" si="24"/>
        <v>3599.99</v>
      </c>
      <c r="F111" s="19">
        <f t="shared" si="24"/>
        <v>1194.99</v>
      </c>
      <c r="G111" s="19">
        <f t="shared" si="24"/>
        <v>1282.49</v>
      </c>
      <c r="H111" s="19">
        <f t="shared" si="24"/>
        <v>914.99</v>
      </c>
      <c r="I111" s="19">
        <f t="shared" si="24"/>
        <v>1039.99</v>
      </c>
      <c r="J111" s="19">
        <f t="shared" si="24"/>
        <v>3709.49</v>
      </c>
      <c r="K111" s="19">
        <f t="shared" si="24"/>
        <v>1039.99</v>
      </c>
      <c r="L111" s="19">
        <f t="shared" si="24"/>
        <v>914.99</v>
      </c>
      <c r="M111" s="20">
        <f t="shared" si="24"/>
        <v>19009.490000000002</v>
      </c>
      <c r="N111" s="29">
        <f t="shared" si="24"/>
        <v>43047.199999999997</v>
      </c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25"/>
    </row>
    <row r="112" spans="1:77" x14ac:dyDescent="0.55000000000000004">
      <c r="A112" s="11" t="s">
        <v>235</v>
      </c>
      <c r="B112" s="14">
        <f t="shared" ref="B112:N112" si="25">B36-B111</f>
        <v>-603.7299999999999</v>
      </c>
      <c r="C112" s="15">
        <f t="shared" si="25"/>
        <v>1508.7114049586773</v>
      </c>
      <c r="D112" s="15">
        <f t="shared" si="25"/>
        <v>-4588.788595041322</v>
      </c>
      <c r="E112" s="15">
        <f t="shared" si="25"/>
        <v>-75.82526170798883</v>
      </c>
      <c r="F112" s="15">
        <f t="shared" si="25"/>
        <v>1198.7114049586773</v>
      </c>
      <c r="G112" s="15">
        <f t="shared" si="25"/>
        <v>1996.2114049586778</v>
      </c>
      <c r="H112" s="15">
        <f t="shared" si="25"/>
        <v>2609.1747382920112</v>
      </c>
      <c r="I112" s="15">
        <f t="shared" si="25"/>
        <v>1353.7114049586778</v>
      </c>
      <c r="J112" s="15">
        <f t="shared" si="25"/>
        <v>-430.78859504132197</v>
      </c>
      <c r="K112" s="15">
        <f t="shared" si="25"/>
        <v>2484.1747382920112</v>
      </c>
      <c r="L112" s="15">
        <f t="shared" si="25"/>
        <v>11478.711404958678</v>
      </c>
      <c r="M112" s="16">
        <f t="shared" si="25"/>
        <v>-5721.5040495867779</v>
      </c>
      <c r="N112" s="30">
        <f t="shared" si="25"/>
        <v>11208.76999999999</v>
      </c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</row>
  </sheetData>
  <mergeCells count="1">
    <mergeCell ref="B4:N4"/>
  </mergeCells>
  <phoneticPr fontId="18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9BEA2-1B9B-48B9-8144-211A07F3AE82}">
  <dimension ref="B9:I22"/>
  <sheetViews>
    <sheetView topLeftCell="A7" workbookViewId="0">
      <selection activeCell="D22" sqref="D22"/>
    </sheetView>
  </sheetViews>
  <sheetFormatPr defaultRowHeight="14.4" x14ac:dyDescent="0.55000000000000004"/>
  <cols>
    <col min="9" max="9" width="9.26171875" bestFit="1" customWidth="1"/>
  </cols>
  <sheetData>
    <row r="9" spans="2:7" x14ac:dyDescent="0.55000000000000004">
      <c r="D9" t="s">
        <v>262</v>
      </c>
    </row>
    <row r="10" spans="2:7" x14ac:dyDescent="0.55000000000000004">
      <c r="C10" t="s">
        <v>74</v>
      </c>
      <c r="D10">
        <v>75</v>
      </c>
      <c r="E10">
        <v>1</v>
      </c>
      <c r="G10" s="38">
        <v>75</v>
      </c>
    </row>
    <row r="11" spans="2:7" x14ac:dyDescent="0.55000000000000004">
      <c r="C11" t="s">
        <v>75</v>
      </c>
      <c r="D11">
        <v>12.5</v>
      </c>
      <c r="E11">
        <v>1</v>
      </c>
      <c r="G11" s="38">
        <v>75</v>
      </c>
    </row>
    <row r="12" spans="2:7" x14ac:dyDescent="0.55000000000000004">
      <c r="B12">
        <f>SUM(D10:D12)</f>
        <v>305</v>
      </c>
      <c r="C12" t="s">
        <v>76</v>
      </c>
      <c r="D12">
        <v>217.5</v>
      </c>
      <c r="E12">
        <v>3</v>
      </c>
      <c r="G12" s="38">
        <v>300</v>
      </c>
    </row>
    <row r="13" spans="2:7" x14ac:dyDescent="0.55000000000000004">
      <c r="C13" t="s">
        <v>77</v>
      </c>
      <c r="D13">
        <v>150</v>
      </c>
      <c r="E13">
        <v>2</v>
      </c>
      <c r="G13" s="38">
        <v>150</v>
      </c>
    </row>
    <row r="14" spans="2:7" x14ac:dyDescent="0.55000000000000004">
      <c r="C14" t="s">
        <v>78</v>
      </c>
      <c r="D14">
        <v>212.5</v>
      </c>
      <c r="E14">
        <v>3</v>
      </c>
      <c r="G14" s="38">
        <f>75*3</f>
        <v>225</v>
      </c>
    </row>
    <row r="15" spans="2:7" x14ac:dyDescent="0.55000000000000004">
      <c r="B15">
        <f>SUM(D13:D15)</f>
        <v>362.5</v>
      </c>
      <c r="C15" t="s">
        <v>79</v>
      </c>
      <c r="D15">
        <v>0</v>
      </c>
      <c r="E15">
        <v>0</v>
      </c>
      <c r="G15" s="38">
        <v>75</v>
      </c>
    </row>
    <row r="16" spans="2:7" x14ac:dyDescent="0.55000000000000004">
      <c r="C16" t="s">
        <v>80</v>
      </c>
      <c r="D16">
        <v>332.5</v>
      </c>
      <c r="E16">
        <v>5</v>
      </c>
      <c r="G16" s="38">
        <f>75*4</f>
        <v>300</v>
      </c>
    </row>
    <row r="17" spans="2:9" x14ac:dyDescent="0.55000000000000004">
      <c r="C17" t="s">
        <v>81</v>
      </c>
      <c r="D17">
        <v>75</v>
      </c>
      <c r="E17">
        <v>1</v>
      </c>
      <c r="G17" s="38">
        <v>75</v>
      </c>
    </row>
    <row r="18" spans="2:9" x14ac:dyDescent="0.55000000000000004">
      <c r="B18">
        <f>SUM(D16:D18)</f>
        <v>557.5</v>
      </c>
      <c r="C18" t="s">
        <v>82</v>
      </c>
      <c r="D18">
        <v>150</v>
      </c>
      <c r="E18">
        <v>2</v>
      </c>
      <c r="G18" s="38">
        <v>150</v>
      </c>
    </row>
    <row r="19" spans="2:9" x14ac:dyDescent="0.55000000000000004">
      <c r="C19" t="s">
        <v>83</v>
      </c>
      <c r="D19">
        <v>150</v>
      </c>
      <c r="E19">
        <v>2</v>
      </c>
      <c r="G19" s="38">
        <v>150</v>
      </c>
    </row>
    <row r="20" spans="2:9" x14ac:dyDescent="0.55000000000000004">
      <c r="C20" t="s">
        <v>84</v>
      </c>
      <c r="D20">
        <v>150</v>
      </c>
      <c r="E20">
        <v>2</v>
      </c>
      <c r="G20" s="38">
        <v>225</v>
      </c>
    </row>
    <row r="21" spans="2:9" x14ac:dyDescent="0.55000000000000004">
      <c r="B21">
        <f>SUM(D19:D21)</f>
        <v>450</v>
      </c>
      <c r="C21" t="s">
        <v>85</v>
      </c>
      <c r="D21">
        <v>150</v>
      </c>
      <c r="E21">
        <f>AVERAGE(E10:E20)</f>
        <v>2</v>
      </c>
      <c r="G21" s="38">
        <v>75</v>
      </c>
    </row>
    <row r="22" spans="2:9" x14ac:dyDescent="0.55000000000000004">
      <c r="D22">
        <f>SUM(D10:D21)</f>
        <v>1675</v>
      </c>
      <c r="E22">
        <f>SUM(E10:E21)</f>
        <v>24</v>
      </c>
      <c r="G22" s="25">
        <f>SUM(G10:G21)</f>
        <v>1875</v>
      </c>
      <c r="H22" s="33"/>
      <c r="I22" s="33"/>
    </row>
  </sheetData>
  <phoneticPr fontId="18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98ec95-8fb0-48b0-8316-fec208ac54cd">
      <Terms xmlns="http://schemas.microsoft.com/office/infopath/2007/PartnerControls"/>
    </lcf76f155ced4ddcb4097134ff3c332f>
    <TaxCatchAll xmlns="bc24ec78-c87f-4986-8cdc-adc23a09c20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CACF9B9638D144B645F40742703BBB" ma:contentTypeVersion="18" ma:contentTypeDescription="Create a new document." ma:contentTypeScope="" ma:versionID="57b0ba6e069db640ff2c70f61c7b3a25">
  <xsd:schema xmlns:xsd="http://www.w3.org/2001/XMLSchema" xmlns:xs="http://www.w3.org/2001/XMLSchema" xmlns:p="http://schemas.microsoft.com/office/2006/metadata/properties" xmlns:ns2="b298ec95-8fb0-48b0-8316-fec208ac54cd" xmlns:ns3="bc24ec78-c87f-4986-8cdc-adc23a09c203" targetNamespace="http://schemas.microsoft.com/office/2006/metadata/properties" ma:root="true" ma:fieldsID="3ceebfde653d38d9a768500d96ce347f" ns2:_="" ns3:_="">
    <xsd:import namespace="b298ec95-8fb0-48b0-8316-fec208ac54cd"/>
    <xsd:import namespace="bc24ec78-c87f-4986-8cdc-adc23a09c2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8ec95-8fb0-48b0-8316-fec208ac54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7b7687d-ebf3-4d2a-9e98-a4247e2a09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24ec78-c87f-4986-8cdc-adc23a09c20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3c28677-9981-4efa-a11b-245cdcf16ee6}" ma:internalName="TaxCatchAll" ma:showField="CatchAllData" ma:web="bc24ec78-c87f-4986-8cdc-adc23a09c2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75D966-EA53-463D-BC4E-3F388ABA927A}">
  <ds:schemaRefs>
    <ds:schemaRef ds:uri="http://schemas.microsoft.com/office/2006/metadata/properties"/>
    <ds:schemaRef ds:uri="http://schemas.microsoft.com/office/infopath/2007/PartnerControls"/>
    <ds:schemaRef ds:uri="b298ec95-8fb0-48b0-8316-fec208ac54cd"/>
    <ds:schemaRef ds:uri="bc24ec78-c87f-4986-8cdc-adc23a09c203"/>
  </ds:schemaRefs>
</ds:datastoreItem>
</file>

<file path=customXml/itemProps2.xml><?xml version="1.0" encoding="utf-8"?>
<ds:datastoreItem xmlns:ds="http://schemas.openxmlformats.org/officeDocument/2006/customXml" ds:itemID="{D9F178C3-FC8C-4E7A-8B29-A188E0E270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98ec95-8fb0-48b0-8316-fec208ac54cd"/>
    <ds:schemaRef ds:uri="bc24ec78-c87f-4986-8cdc-adc23a09c2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8FED60-CD12-48ED-9A93-0481B09E22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Ops Summary</vt:lpstr>
      <vt:lpstr>Reports</vt:lpstr>
      <vt:lpstr>2025 Financials by Month</vt:lpstr>
      <vt:lpstr>Variables</vt:lpstr>
      <vt:lpstr>2023 Op Plan</vt:lpstr>
      <vt:lpstr>Renewals</vt:lpstr>
      <vt:lpstr>myMonth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Vargas</dc:creator>
  <cp:keywords/>
  <dc:description/>
  <cp:lastModifiedBy>Bianca Clark</cp:lastModifiedBy>
  <cp:revision/>
  <dcterms:created xsi:type="dcterms:W3CDTF">2023-01-25T17:59:58Z</dcterms:created>
  <dcterms:modified xsi:type="dcterms:W3CDTF">2025-06-17T20:14:41Z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0x010100EFCACF9B9638D144B645F40742703BBB</vt:lpwstr>
  </property>
  <property fmtid="{D5CDD505-2E9C-101B-9397-08002B2CF9AE}" pid="3" name="MediaServiceImageTags">
    <vt:lpwstr/>
  </property>
  <property fmtid="{D5CDD505-2E9C-101B-9397-08002B2CF9AE}" pid="4" name="Order">
    <vt:r8>942200</vt:r8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_CopySource">
    <vt:lpwstr>https://atdneflorg.sharepoint.com/Shared Documents/2024/Finance/2024 Monthly Financials/24 Monthly Financials _ ATDNEFL.xlsx</vt:lpwstr>
  </property>
</Properties>
</file>